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2011\Web21\progetto-rio\progetto-rio-scuole-2018\campagne-indagini-scuole\risultati-finali-5-06-2018\"/>
    </mc:Choice>
  </mc:AlternateContent>
  <bookViews>
    <workbookView xWindow="-15" yWindow="-15" windowWidth="20430" windowHeight="6420" activeTab="1"/>
  </bookViews>
  <sheets>
    <sheet name="Quadro Generale-22.02. 2018" sheetId="1" r:id="rId1"/>
    <sheet name="Quadro Generale - 12.04.2018" sheetId="7" r:id="rId2"/>
    <sheet name="Fosfati-comparazione" sheetId="8" r:id="rId3"/>
    <sheet name="Nitrati-comparazione" sheetId="9" r:id="rId4"/>
    <sheet name="22-02-2014-nuova-tabella" sheetId="10" r:id="rId5"/>
    <sheet name="12-04-2018-nuova-tabella" sheetId="11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J13" i="11" l="1"/>
  <c r="J12" i="11"/>
  <c r="J11" i="11"/>
  <c r="J10" i="11"/>
  <c r="J9" i="11"/>
  <c r="J8" i="11"/>
  <c r="J7" i="11"/>
  <c r="J6" i="11"/>
  <c r="H13" i="11"/>
  <c r="H12" i="11"/>
  <c r="H11" i="11"/>
  <c r="H10" i="11"/>
  <c r="H9" i="11"/>
  <c r="H8" i="11"/>
  <c r="H7" i="11"/>
  <c r="H6" i="11"/>
  <c r="I13" i="10"/>
  <c r="I12" i="10"/>
  <c r="I11" i="10"/>
  <c r="I10" i="10"/>
  <c r="I9" i="10"/>
  <c r="I8" i="10"/>
  <c r="I7" i="10"/>
  <c r="I6" i="10"/>
  <c r="G13" i="10"/>
  <c r="G12" i="10"/>
  <c r="G11" i="10"/>
  <c r="G10" i="10"/>
  <c r="G9" i="10"/>
  <c r="G8" i="10"/>
  <c r="G7" i="10"/>
  <c r="G6" i="10"/>
  <c r="D31" i="8"/>
  <c r="I25" i="8"/>
  <c r="I23" i="8"/>
  <c r="I23" i="9"/>
  <c r="I22" i="9"/>
  <c r="I19" i="9"/>
  <c r="I18" i="9"/>
  <c r="H23" i="9"/>
  <c r="H22" i="9"/>
  <c r="H19" i="9"/>
  <c r="H18" i="9"/>
  <c r="I9" i="9"/>
  <c r="I24" i="9" s="1"/>
  <c r="E25" i="9"/>
  <c r="E30" i="9" s="1"/>
  <c r="E24" i="9"/>
  <c r="E23" i="9"/>
  <c r="E22" i="9"/>
  <c r="E21" i="9"/>
  <c r="E20" i="9"/>
  <c r="E19" i="9"/>
  <c r="E18" i="9"/>
  <c r="E28" i="9" s="1"/>
  <c r="D31" i="9" s="1"/>
  <c r="D25" i="9"/>
  <c r="D24" i="9"/>
  <c r="D23" i="9"/>
  <c r="D22" i="9"/>
  <c r="D21" i="9"/>
  <c r="D20" i="9"/>
  <c r="D19" i="9"/>
  <c r="D18" i="9"/>
  <c r="D30" i="9" s="1"/>
  <c r="D28" i="9"/>
  <c r="E25" i="8"/>
  <c r="E30" i="8" s="1"/>
  <c r="E24" i="8"/>
  <c r="E23" i="8"/>
  <c r="E22" i="8"/>
  <c r="E21" i="8"/>
  <c r="E20" i="8"/>
  <c r="E19" i="8"/>
  <c r="E18" i="8"/>
  <c r="E28" i="8" s="1"/>
  <c r="D25" i="8"/>
  <c r="D30" i="8" s="1"/>
  <c r="D24" i="8"/>
  <c r="D23" i="8"/>
  <c r="D22" i="8"/>
  <c r="D21" i="8"/>
  <c r="D20" i="8"/>
  <c r="D19" i="8"/>
  <c r="D18" i="8"/>
  <c r="D28" i="8" s="1"/>
  <c r="H21" i="9" l="1"/>
  <c r="H25" i="9"/>
  <c r="H30" i="9" s="1"/>
  <c r="I21" i="9"/>
  <c r="I25" i="9"/>
  <c r="I30" i="9" s="1"/>
  <c r="H20" i="9"/>
  <c r="H28" i="9" s="1"/>
  <c r="H24" i="9"/>
  <c r="I20" i="9"/>
  <c r="I28" i="9" s="1"/>
  <c r="H31" i="9" s="1"/>
</calcChain>
</file>

<file path=xl/sharedStrings.xml><?xml version="1.0" encoding="utf-8"?>
<sst xmlns="http://schemas.openxmlformats.org/spreadsheetml/2006/main" count="439" uniqueCount="148">
  <si>
    <t>Cond. Meteo:</t>
  </si>
  <si>
    <t>Descrizione</t>
  </si>
  <si>
    <t>ORA</t>
  </si>
  <si>
    <t>T. ARIA</t>
  </si>
  <si>
    <t>T ACQUA</t>
  </si>
  <si>
    <t>COND</t>
  </si>
  <si>
    <t>DO%</t>
  </si>
  <si>
    <t>DO</t>
  </si>
  <si>
    <t xml:space="preserve"> pH</t>
  </si>
  <si>
    <t>RedOx</t>
  </si>
  <si>
    <t>Sal</t>
  </si>
  <si>
    <t>TDS</t>
  </si>
  <si>
    <t>[µS/cm]</t>
  </si>
  <si>
    <t>[%]</t>
  </si>
  <si>
    <t>[mg/l]</t>
  </si>
  <si>
    <t>[mV]</t>
  </si>
  <si>
    <t>[ppt]</t>
  </si>
  <si>
    <t>[°C]</t>
  </si>
  <si>
    <t>(°C)</t>
  </si>
  <si>
    <t>Ossigeno % di saturazione</t>
  </si>
  <si>
    <t xml:space="preserve">DO </t>
  </si>
  <si>
    <t>Ossigeno disciolto</t>
  </si>
  <si>
    <t xml:space="preserve">Potenziale Redox </t>
  </si>
  <si>
    <t xml:space="preserve">Sal </t>
  </si>
  <si>
    <t>Legenda per le sigle presenti (meno note):</t>
  </si>
  <si>
    <t>Salinità</t>
  </si>
  <si>
    <t>Total Dissolved Solids, Solidi Disciolti Totali</t>
  </si>
  <si>
    <t xml:space="preserve">esprime la capacità ossidante (di acquistare elettroni) o di riduzione (cedere elettronica) di una soluzione </t>
  </si>
  <si>
    <t xml:space="preserve">L'intervallo migliore per le acque superficiali varia da 200 a 400mV; valori di molto inferiori pongono problemi, così come valori molto superiori... </t>
  </si>
  <si>
    <t>Note</t>
  </si>
  <si>
    <t>Nitrati_NO3</t>
  </si>
  <si>
    <t>(mg/l di Nitrati espressi come NO3)</t>
  </si>
  <si>
    <t>Nota:</t>
  </si>
  <si>
    <t>QUADRO GENERALE RISULTATI</t>
  </si>
  <si>
    <t>Escherichia coli</t>
  </si>
  <si>
    <t>(UFC/100mL)</t>
  </si>
  <si>
    <t>ITET Mantegna MN</t>
  </si>
  <si>
    <t xml:space="preserve">STAZIONE </t>
  </si>
  <si>
    <t>IL PROGETTO FA PARTE DI UN PROGETTO DI EDUCAZIONE AMBIENTALE DEL PARCO DEL MINCIO, SUPPORTATO DA REGIONE LOMBARDIA</t>
  </si>
  <si>
    <t>IL PROGETTO COSTITUISCE UN'AZIONE DEL CONTRATTO DI FIUME MINCIO</t>
  </si>
  <si>
    <t>Analisi eseguite presso</t>
  </si>
  <si>
    <t>Fosfati Totali_PO4</t>
  </si>
  <si>
    <t>PROGETTO RIO 2018</t>
  </si>
  <si>
    <t>PROGETTO DI ALTERNANZA SCUOLA LAVORO IN CONVENZIONE CON FONDAZIONE LE PESCHERIE DI GIULIO ROMANO (ANNO 2018)</t>
  </si>
  <si>
    <t>Prima Campagna di Monitoraggio del Rio 22.02.2018</t>
  </si>
  <si>
    <t xml:space="preserve">Campionamenti e misurazioni in campo a cura della Classe 4C BIO Istituto Superiore Fermi di Mantova </t>
  </si>
  <si>
    <t>pioggia</t>
  </si>
  <si>
    <t>Imbocco Belfiore</t>
  </si>
  <si>
    <t>via Solferino</t>
  </si>
  <si>
    <t>piazza Cavallotti</t>
  </si>
  <si>
    <t>piazza Martiri</t>
  </si>
  <si>
    <t>via Pescheria</t>
  </si>
  <si>
    <t>via Massari</t>
  </si>
  <si>
    <t>via Trieste</t>
  </si>
  <si>
    <t>8:00</t>
  </si>
  <si>
    <t>9:09</t>
  </si>
  <si>
    <t>9:20</t>
  </si>
  <si>
    <t>9:45</t>
  </si>
  <si>
    <t>9:55</t>
  </si>
  <si>
    <t>10:08</t>
  </si>
  <si>
    <t>10:18</t>
  </si>
  <si>
    <t>10:28</t>
  </si>
  <si>
    <t xml:space="preserve"> Analisi eseguite presso </t>
  </si>
  <si>
    <t>IS Fermi Mantova</t>
  </si>
  <si>
    <t>24.02.2018</t>
  </si>
  <si>
    <t>HPLC</t>
  </si>
  <si>
    <t>Kit</t>
  </si>
  <si>
    <t>(mg/l di Fosfati espressi come PO4)</t>
  </si>
  <si>
    <t>(mg/l di Nitrati epressi come NO3)</t>
  </si>
  <si>
    <t>Enterococchi</t>
  </si>
  <si>
    <t>SONDA MULTIPARAMETRICA</t>
  </si>
  <si>
    <t xml:space="preserve">MISURAZIONI ESEGUITE IN CAMPO </t>
  </si>
  <si>
    <t xml:space="preserve">Strumentazione e materiale per microbiologia </t>
  </si>
  <si>
    <t>22.02.2018</t>
  </si>
  <si>
    <t xml:space="preserve">&lt; 1,0 </t>
  </si>
  <si>
    <t>Data</t>
  </si>
  <si>
    <t xml:space="preserve">200* </t>
  </si>
  <si>
    <t>* presenza di rifiuti solidi</t>
  </si>
  <si>
    <t>Seconda Campagna di Monitoraggio del Rio 12.04.2018</t>
  </si>
  <si>
    <t>12.04.2018</t>
  </si>
  <si>
    <t>14.04.2018</t>
  </si>
  <si>
    <t>7:30</t>
  </si>
  <si>
    <t>2260*</t>
  </si>
  <si>
    <r>
      <t xml:space="preserve"> </t>
    </r>
    <r>
      <rPr>
        <b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presenza di rifiuti solidi</t>
    </r>
  </si>
  <si>
    <t>Solfati_SO4</t>
  </si>
  <si>
    <t>(mg/l )</t>
  </si>
  <si>
    <t>kit</t>
  </si>
  <si>
    <t>Fosfati Totali_P</t>
  </si>
  <si>
    <t>E' possibile solo il confronto per i risultati dei kit</t>
  </si>
  <si>
    <t>Media G.</t>
  </si>
  <si>
    <t>LIMeco</t>
  </si>
  <si>
    <r>
      <t xml:space="preserve">Tutti i valori sono compresi tra 110 e 190 </t>
    </r>
    <r>
      <rPr>
        <b/>
        <sz val="14"/>
        <color theme="1"/>
        <rFont val="Calibri"/>
        <family val="2"/>
      </rPr>
      <t>µg/L</t>
    </r>
    <r>
      <rPr>
        <b/>
        <sz val="14"/>
        <color theme="1"/>
        <rFont val="Calibri"/>
        <family val="2"/>
        <scheme val="minor"/>
      </rPr>
      <t xml:space="preserve"> </t>
    </r>
  </si>
  <si>
    <t>Per tutte le stazioni LIMeco = 3</t>
  </si>
  <si>
    <t>COMPARAZIONE FOSFATI</t>
  </si>
  <si>
    <t>(mg/l di Nitrati espressi come N)</t>
  </si>
  <si>
    <t xml:space="preserve">massa N/massa NO3=1/4,43 </t>
  </si>
  <si>
    <t>NO3_N</t>
  </si>
  <si>
    <t xml:space="preserve">Incremento dalla stazione 1 alla stazione 8 </t>
  </si>
  <si>
    <t>I DATI DEI KIT</t>
  </si>
  <si>
    <t>Commento ai risultati</t>
  </si>
  <si>
    <t xml:space="preserve">Netta discontinuità tra i dati delle </t>
  </si>
  <si>
    <t xml:space="preserve">prime tre stazioni (molto bassi) </t>
  </si>
  <si>
    <t>ritenuti più attedibili.</t>
  </si>
  <si>
    <t>e quelli delle stazioni successive,</t>
  </si>
  <si>
    <t>Nitrati - KIT</t>
  </si>
  <si>
    <t>Nitrati HPLC</t>
  </si>
  <si>
    <t xml:space="preserve">Grande omogeneità tra i risultati, che </t>
  </si>
  <si>
    <t>risultano tre-quattro volte quelli ottenuti</t>
  </si>
  <si>
    <t>con i kit.</t>
  </si>
  <si>
    <t>Solfati HPLC</t>
  </si>
  <si>
    <t>Il rapporto è circa quello riscontrato</t>
  </si>
  <si>
    <t>nelle storia del Progetto Mincio</t>
  </si>
  <si>
    <t>Nella norma le concentrazioni dei Solfati</t>
  </si>
  <si>
    <t xml:space="preserve">Sono valori elevati, dalle due alle tre </t>
  </si>
  <si>
    <t>volte superiori a quelli rilevati nelle analisi</t>
  </si>
  <si>
    <t>del PM2018 alla Zanzara (27 aprile 2018)</t>
  </si>
  <si>
    <t xml:space="preserve">stazione poco distante dalla bocca di </t>
  </si>
  <si>
    <t>presa del Rio sul lago Superiore</t>
  </si>
  <si>
    <t xml:space="preserve">Se si escludono i valori più bassi, ritenuti scarsamente attendibili </t>
  </si>
  <si>
    <t>tutti gli altri variano da 0,7 a 1,0.</t>
  </si>
  <si>
    <t>Ne consegue un valore di LIMeco = 2</t>
  </si>
  <si>
    <t>Buono</t>
  </si>
  <si>
    <t xml:space="preserve">I valori riscontrati il 12 aprile risultano dalle </t>
  </si>
  <si>
    <t>due alle tre volte quelli registrati in febbraio</t>
  </si>
  <si>
    <t>I DATI DELL'HPLC</t>
  </si>
  <si>
    <t xml:space="preserve">Tutti i dati di febbraio, ad eccezione di quello </t>
  </si>
  <si>
    <t>relativo alla stazione n. 2, che è al Livello 1,</t>
  </si>
  <si>
    <t>sono al Livello 2 , corrispondente allo stato</t>
  </si>
  <si>
    <r>
      <t xml:space="preserve">di qualità  </t>
    </r>
    <r>
      <rPr>
        <b/>
        <sz val="11"/>
        <color theme="1"/>
        <rFont val="Calibri"/>
        <family val="2"/>
        <scheme val="minor"/>
      </rPr>
      <t>BUONO</t>
    </r>
    <r>
      <rPr>
        <sz val="11"/>
        <color theme="1"/>
        <rFont val="Calibri"/>
        <family val="2"/>
        <scheme val="minor"/>
      </rPr>
      <t>.</t>
    </r>
  </si>
  <si>
    <t>Media Geometrica</t>
  </si>
  <si>
    <t>(mg/l di Fosfati espressi come P)</t>
  </si>
  <si>
    <t>Tutti i dati di aprile sono al livello 3 SUFFICIENTE</t>
  </si>
  <si>
    <r>
      <t>Incremento medio</t>
    </r>
    <r>
      <rPr>
        <b/>
        <sz val="11"/>
        <color theme="1"/>
        <rFont val="Calibri"/>
        <family val="2"/>
        <scheme val="minor"/>
      </rPr>
      <t xml:space="preserve"> febbraio-aprile 2018 </t>
    </r>
  </si>
  <si>
    <r>
      <t>Incremento medio</t>
    </r>
    <r>
      <rPr>
        <b/>
        <sz val="11"/>
        <color theme="1"/>
        <rFont val="Calibri"/>
        <family val="2"/>
        <scheme val="minor"/>
      </rPr>
      <t xml:space="preserve"> febbraio-aprile 2018  </t>
    </r>
  </si>
  <si>
    <t>Risultati 22.02.2018</t>
  </si>
  <si>
    <t>(mg/l)</t>
  </si>
  <si>
    <t>KIT</t>
  </si>
  <si>
    <t xml:space="preserve">&lt;0,33 </t>
  </si>
  <si>
    <t>PO4_P</t>
  </si>
  <si>
    <t>viale Pitentino</t>
  </si>
  <si>
    <t>poco attendibile</t>
  </si>
  <si>
    <t>sufficiente</t>
  </si>
  <si>
    <t>buono</t>
  </si>
  <si>
    <t>possiamo dire che sicuramente non sono peggio di SUFFICIENTI</t>
  </si>
  <si>
    <t xml:space="preserve">ma non siamo in grado di dire se siano ELEVATI, BUONI o SUFFICIENTI </t>
  </si>
  <si>
    <r>
      <t xml:space="preserve">Poiché i valori sono inferiori a 0,33 mg/L,  cioè  330 </t>
    </r>
    <r>
      <rPr>
        <b/>
        <sz val="11"/>
        <color theme="1"/>
        <rFont val="Calibri"/>
        <family val="2"/>
      </rPr>
      <t>µg/L (microgrammi/L)</t>
    </r>
  </si>
  <si>
    <t>molto basso</t>
  </si>
  <si>
    <t>Risultati 12.04.2018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</si>
</sst>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[$€-2]\ * #,##0.00_-;\-[$€-2]\ * #,##0.00_-;_-[$€-2]\ * \-??_-"/>
    <numFmt numFmtId="166" formatCode="0.000"/>
  </numFmts>
  <fonts count="28" x14ac:knownFonts="1">
    <font>
      <sz val="11"/>
      <color theme="1"/>
      <name val="Calibri"/>
      <family val="2"/>
      <scheme val="minor"/>
    </font>
    <font>
      <b/>
      <sz val="12"/>
      <color theme="4" tint="-0.249977111117893"/>
      <name val="Century Gothic"/>
      <family val="2"/>
    </font>
    <font>
      <b/>
      <sz val="14"/>
      <color theme="4" tint="-0.249977111117893"/>
      <name val="Century Gothic"/>
      <family val="2"/>
    </font>
    <font>
      <b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b/>
      <i/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8E40"/>
      <name val="Arial"/>
      <family val="2"/>
    </font>
    <font>
      <b/>
      <sz val="12"/>
      <color theme="1"/>
      <name val="Calibri"/>
      <family val="2"/>
    </font>
    <font>
      <b/>
      <sz val="16"/>
      <color theme="4" tint="-0.249977111117893"/>
      <name val="Century Gothic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8E40"/>
      <name val="Arial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</font>
    <font>
      <b/>
      <sz val="20"/>
      <color theme="3" tint="0.39997558519241921"/>
      <name val="Calibri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A84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rgb="FF008E40"/>
      </top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3">
    <xf numFmtId="0" fontId="0" fillId="0" borderId="0"/>
    <xf numFmtId="0" fontId="8" fillId="0" borderId="0"/>
    <xf numFmtId="165" fontId="8" fillId="0" borderId="0" applyFill="0" applyBorder="0" applyAlignment="0" applyProtection="0"/>
  </cellStyleXfs>
  <cellXfs count="2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5" borderId="10" xfId="0" applyFont="1" applyFill="1" applyBorder="1"/>
    <xf numFmtId="0" fontId="0" fillId="0" borderId="0" xfId="0" applyBorder="1" applyAlignment="1"/>
    <xf numFmtId="0" fontId="10" fillId="6" borderId="0" xfId="0" applyFont="1" applyFill="1" applyBorder="1"/>
    <xf numFmtId="0" fontId="11" fillId="6" borderId="15" xfId="0" applyFont="1" applyFill="1" applyBorder="1"/>
    <xf numFmtId="0" fontId="11" fillId="6" borderId="0" xfId="0" applyFont="1" applyFill="1" applyBorder="1"/>
    <xf numFmtId="2" fontId="11" fillId="6" borderId="16" xfId="0" applyNumberFormat="1" applyFont="1" applyFill="1" applyBorder="1"/>
    <xf numFmtId="0" fontId="11" fillId="6" borderId="16" xfId="0" applyFont="1" applyFill="1" applyBorder="1"/>
    <xf numFmtId="0" fontId="11" fillId="6" borderId="0" xfId="0" applyFont="1" applyFill="1"/>
    <xf numFmtId="0" fontId="10" fillId="6" borderId="17" xfId="0" applyFont="1" applyFill="1" applyBorder="1"/>
    <xf numFmtId="0" fontId="11" fillId="6" borderId="18" xfId="0" applyFont="1" applyFill="1" applyBorder="1"/>
    <xf numFmtId="2" fontId="11" fillId="6" borderId="18" xfId="0" applyNumberFormat="1" applyFont="1" applyFill="1" applyBorder="1"/>
    <xf numFmtId="0" fontId="12" fillId="0" borderId="19" xfId="0" applyFont="1" applyBorder="1"/>
    <xf numFmtId="0" fontId="0" fillId="0" borderId="20" xfId="0" applyBorder="1"/>
    <xf numFmtId="2" fontId="0" fillId="0" borderId="20" xfId="0" applyNumberFormat="1" applyBorder="1"/>
    <xf numFmtId="0" fontId="13" fillId="0" borderId="0" xfId="0" applyFont="1"/>
    <xf numFmtId="0" fontId="12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14" fillId="0" borderId="0" xfId="0" applyFont="1"/>
    <xf numFmtId="0" fontId="9" fillId="0" borderId="10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3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" fontId="7" fillId="8" borderId="28" xfId="0" applyNumberFormat="1" applyFont="1" applyFill="1" applyBorder="1" applyAlignment="1">
      <alignment horizontal="center"/>
    </xf>
    <xf numFmtId="1" fontId="7" fillId="9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" fontId="7" fillId="4" borderId="28" xfId="0" applyNumberFormat="1" applyFont="1" applyFill="1" applyBorder="1" applyAlignment="1">
      <alignment horizontal="center"/>
    </xf>
    <xf numFmtId="1" fontId="7" fillId="8" borderId="29" xfId="0" applyNumberFormat="1" applyFont="1" applyFill="1" applyBorder="1" applyAlignment="1">
      <alignment horizontal="center"/>
    </xf>
    <xf numFmtId="1" fontId="7" fillId="4" borderId="29" xfId="0" applyNumberFormat="1" applyFont="1" applyFill="1" applyBorder="1" applyAlignment="1">
      <alignment horizontal="center"/>
    </xf>
    <xf numFmtId="1" fontId="7" fillId="8" borderId="30" xfId="0" applyNumberFormat="1" applyFont="1" applyFill="1" applyBorder="1" applyAlignment="1">
      <alignment horizontal="center"/>
    </xf>
    <xf numFmtId="1" fontId="7" fillId="9" borderId="6" xfId="0" applyNumberFormat="1" applyFont="1" applyFill="1" applyBorder="1" applyAlignment="1">
      <alignment horizontal="center"/>
    </xf>
    <xf numFmtId="2" fontId="7" fillId="4" borderId="30" xfId="0" applyNumberFormat="1" applyFont="1" applyFill="1" applyBorder="1" applyAlignment="1">
      <alignment horizontal="center"/>
    </xf>
    <xf numFmtId="0" fontId="15" fillId="0" borderId="0" xfId="0" applyFont="1"/>
    <xf numFmtId="0" fontId="7" fillId="0" borderId="7" xfId="0" applyFont="1" applyBorder="1" applyAlignment="1">
      <alignment horizontal="center"/>
    </xf>
    <xf numFmtId="49" fontId="16" fillId="0" borderId="8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2" fontId="16" fillId="0" borderId="26" xfId="0" applyNumberFormat="1" applyFont="1" applyBorder="1" applyAlignment="1">
      <alignment horizontal="center"/>
    </xf>
    <xf numFmtId="0" fontId="16" fillId="0" borderId="31" xfId="0" applyFont="1" applyBorder="1"/>
    <xf numFmtId="0" fontId="16" fillId="0" borderId="0" xfId="0" applyFont="1"/>
    <xf numFmtId="2" fontId="16" fillId="0" borderId="8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5" borderId="1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7" fillId="0" borderId="0" xfId="0" applyFont="1"/>
    <xf numFmtId="0" fontId="17" fillId="0" borderId="0" xfId="0" applyFont="1" applyBorder="1"/>
    <xf numFmtId="2" fontId="17" fillId="0" borderId="0" xfId="0" applyNumberFormat="1" applyFont="1" applyBorder="1"/>
    <xf numFmtId="0" fontId="17" fillId="0" borderId="0" xfId="0" applyFont="1" applyAlignment="1">
      <alignment horizontal="center"/>
    </xf>
    <xf numFmtId="0" fontId="19" fillId="10" borderId="0" xfId="0" applyFont="1" applyFill="1"/>
    <xf numFmtId="0" fontId="20" fillId="10" borderId="0" xfId="0" applyFont="1" applyFill="1" applyAlignment="1">
      <alignment horizontal="left"/>
    </xf>
    <xf numFmtId="0" fontId="20" fillId="10" borderId="0" xfId="0" applyFont="1" applyFill="1"/>
    <xf numFmtId="0" fontId="0" fillId="10" borderId="0" xfId="0" applyFill="1"/>
    <xf numFmtId="0" fontId="21" fillId="10" borderId="0" xfId="0" applyFont="1" applyFill="1"/>
    <xf numFmtId="1" fontId="16" fillId="0" borderId="2" xfId="0" applyNumberFormat="1" applyFont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1" fontId="7" fillId="9" borderId="22" xfId="0" applyNumberFormat="1" applyFont="1" applyFill="1" applyBorder="1" applyAlignment="1">
      <alignment horizontal="center"/>
    </xf>
    <xf numFmtId="1" fontId="7" fillId="9" borderId="37" xfId="0" applyNumberFormat="1" applyFont="1" applyFill="1" applyBorder="1" applyAlignment="1">
      <alignment horizontal="center"/>
    </xf>
    <xf numFmtId="1" fontId="7" fillId="9" borderId="23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22" fillId="0" borderId="0" xfId="0" applyFont="1"/>
    <xf numFmtId="0" fontId="16" fillId="3" borderId="0" xfId="0" applyFont="1" applyFill="1"/>
    <xf numFmtId="166" fontId="16" fillId="11" borderId="8" xfId="0" applyNumberFormat="1" applyFont="1" applyFill="1" applyBorder="1" applyAlignment="1">
      <alignment horizontal="center"/>
    </xf>
    <xf numFmtId="0" fontId="2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5" fontId="0" fillId="0" borderId="0" xfId="0" applyNumberFormat="1"/>
    <xf numFmtId="15" fontId="7" fillId="0" borderId="0" xfId="0" applyNumberFormat="1" applyFont="1" applyAlignment="1">
      <alignment horizontal="left"/>
    </xf>
    <xf numFmtId="0" fontId="23" fillId="0" borderId="0" xfId="0" applyFont="1"/>
    <xf numFmtId="164" fontId="6" fillId="3" borderId="0" xfId="0" applyNumberFormat="1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0" fontId="16" fillId="12" borderId="0" xfId="0" applyFont="1" applyFill="1"/>
    <xf numFmtId="0" fontId="6" fillId="12" borderId="0" xfId="0" applyFont="1" applyFill="1"/>
    <xf numFmtId="1" fontId="7" fillId="8" borderId="34" xfId="0" applyNumberFormat="1" applyFont="1" applyFill="1" applyBorder="1" applyAlignment="1">
      <alignment horizontal="center"/>
    </xf>
    <xf numFmtId="1" fontId="7" fillId="8" borderId="35" xfId="0" applyNumberFormat="1" applyFont="1" applyFill="1" applyBorder="1" applyAlignment="1">
      <alignment horizontal="center"/>
    </xf>
    <xf numFmtId="0" fontId="25" fillId="0" borderId="0" xfId="0" applyFont="1"/>
    <xf numFmtId="2" fontId="16" fillId="11" borderId="2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5" fillId="11" borderId="23" xfId="0" applyFont="1" applyFill="1" applyBorder="1" applyAlignment="1">
      <alignment horizontal="center"/>
    </xf>
    <xf numFmtId="2" fontId="16" fillId="11" borderId="24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0" fillId="12" borderId="0" xfId="0" applyFill="1"/>
    <xf numFmtId="0" fontId="6" fillId="3" borderId="0" xfId="0" applyFont="1" applyFill="1"/>
    <xf numFmtId="2" fontId="16" fillId="12" borderId="44" xfId="0" applyNumberFormat="1" applyFont="1" applyFill="1" applyBorder="1" applyAlignment="1">
      <alignment horizontal="center"/>
    </xf>
    <xf numFmtId="2" fontId="16" fillId="12" borderId="49" xfId="0" applyNumberFormat="1" applyFont="1" applyFill="1" applyBorder="1" applyAlignment="1">
      <alignment horizontal="center"/>
    </xf>
    <xf numFmtId="2" fontId="16" fillId="12" borderId="50" xfId="0" applyNumberFormat="1" applyFont="1" applyFill="1" applyBorder="1" applyAlignment="1">
      <alignment horizontal="center"/>
    </xf>
    <xf numFmtId="2" fontId="16" fillId="3" borderId="51" xfId="0" applyNumberFormat="1" applyFont="1" applyFill="1" applyBorder="1" applyAlignment="1">
      <alignment horizontal="center"/>
    </xf>
    <xf numFmtId="2" fontId="16" fillId="12" borderId="52" xfId="0" applyNumberFormat="1" applyFont="1" applyFill="1" applyBorder="1" applyAlignment="1">
      <alignment horizontal="center"/>
    </xf>
    <xf numFmtId="2" fontId="16" fillId="3" borderId="52" xfId="0" applyNumberFormat="1" applyFont="1" applyFill="1" applyBorder="1" applyAlignment="1">
      <alignment horizontal="center"/>
    </xf>
    <xf numFmtId="2" fontId="16" fillId="3" borderId="53" xfId="0" applyNumberFormat="1" applyFont="1" applyFill="1" applyBorder="1" applyAlignment="1">
      <alignment horizontal="center"/>
    </xf>
    <xf numFmtId="0" fontId="0" fillId="3" borderId="0" xfId="0" applyFill="1"/>
    <xf numFmtId="2" fontId="16" fillId="3" borderId="7" xfId="0" applyNumberFormat="1" applyFont="1" applyFill="1" applyBorder="1" applyAlignment="1">
      <alignment horizontal="center"/>
    </xf>
    <xf numFmtId="2" fontId="16" fillId="3" borderId="4" xfId="0" applyNumberFormat="1" applyFont="1" applyFill="1" applyBorder="1" applyAlignment="1">
      <alignment horizontal="center"/>
    </xf>
    <xf numFmtId="2" fontId="16" fillId="13" borderId="49" xfId="0" applyNumberFormat="1" applyFont="1" applyFill="1" applyBorder="1" applyAlignment="1">
      <alignment horizontal="center"/>
    </xf>
    <xf numFmtId="0" fontId="6" fillId="13" borderId="0" xfId="0" applyFont="1" applyFill="1"/>
    <xf numFmtId="0" fontId="0" fillId="13" borderId="0" xfId="0" applyFill="1"/>
    <xf numFmtId="2" fontId="16" fillId="14" borderId="54" xfId="0" applyNumberFormat="1" applyFont="1" applyFill="1" applyBorder="1" applyAlignment="1">
      <alignment horizontal="center"/>
    </xf>
    <xf numFmtId="2" fontId="16" fillId="14" borderId="55" xfId="0" applyNumberFormat="1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2" fontId="16" fillId="12" borderId="55" xfId="0" applyNumberFormat="1" applyFont="1" applyFill="1" applyBorder="1" applyAlignment="1">
      <alignment horizontal="center"/>
    </xf>
    <xf numFmtId="2" fontId="16" fillId="12" borderId="56" xfId="0" applyNumberFormat="1" applyFont="1" applyFill="1" applyBorder="1" applyAlignment="1">
      <alignment horizontal="center"/>
    </xf>
    <xf numFmtId="0" fontId="6" fillId="14" borderId="0" xfId="0" applyFont="1" applyFill="1"/>
    <xf numFmtId="0" fontId="0" fillId="14" borderId="0" xfId="0" applyFill="1"/>
    <xf numFmtId="2" fontId="16" fillId="11" borderId="8" xfId="0" applyNumberFormat="1" applyFont="1" applyFill="1" applyBorder="1" applyAlignment="1">
      <alignment horizontal="center"/>
    </xf>
    <xf numFmtId="2" fontId="16" fillId="11" borderId="28" xfId="0" applyNumberFormat="1" applyFont="1" applyFill="1" applyBorder="1" applyAlignment="1">
      <alignment horizontal="center"/>
    </xf>
    <xf numFmtId="2" fontId="16" fillId="11" borderId="29" xfId="0" applyNumberFormat="1" applyFont="1" applyFill="1" applyBorder="1" applyAlignment="1">
      <alignment horizontal="center"/>
    </xf>
    <xf numFmtId="2" fontId="16" fillId="11" borderId="30" xfId="0" applyNumberFormat="1" applyFont="1" applyFill="1" applyBorder="1" applyAlignment="1">
      <alignment horizontal="center"/>
    </xf>
    <xf numFmtId="166" fontId="16" fillId="11" borderId="41" xfId="0" applyNumberFormat="1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0" fontId="0" fillId="11" borderId="0" xfId="0" applyFill="1"/>
    <xf numFmtId="2" fontId="16" fillId="11" borderId="32" xfId="0" applyNumberFormat="1" applyFont="1" applyFill="1" applyBorder="1" applyAlignment="1">
      <alignment horizontal="center"/>
    </xf>
    <xf numFmtId="2" fontId="16" fillId="11" borderId="33" xfId="0" applyNumberFormat="1" applyFont="1" applyFill="1" applyBorder="1" applyAlignment="1">
      <alignment horizontal="center"/>
    </xf>
    <xf numFmtId="2" fontId="16" fillId="11" borderId="5" xfId="0" applyNumberFormat="1" applyFont="1" applyFill="1" applyBorder="1" applyAlignment="1">
      <alignment horizontal="center"/>
    </xf>
    <xf numFmtId="0" fontId="6" fillId="11" borderId="4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2" fontId="16" fillId="11" borderId="2" xfId="0" applyNumberFormat="1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6" fillId="11" borderId="11" xfId="0" applyFont="1" applyFill="1" applyBorder="1" applyAlignment="1">
      <alignment horizontal="center"/>
    </xf>
    <xf numFmtId="2" fontId="16" fillId="11" borderId="38" xfId="0" applyNumberFormat="1" applyFont="1" applyFill="1" applyBorder="1" applyAlignment="1">
      <alignment horizontal="center"/>
    </xf>
    <xf numFmtId="2" fontId="16" fillId="11" borderId="35" xfId="0" applyNumberFormat="1" applyFont="1" applyFill="1" applyBorder="1" applyAlignment="1">
      <alignment horizontal="center"/>
    </xf>
    <xf numFmtId="2" fontId="16" fillId="11" borderId="39" xfId="0" applyNumberFormat="1" applyFont="1" applyFill="1" applyBorder="1" applyAlignment="1">
      <alignment horizontal="center"/>
    </xf>
    <xf numFmtId="2" fontId="0" fillId="11" borderId="0" xfId="0" applyNumberFormat="1" applyFill="1" applyBorder="1" applyAlignment="1">
      <alignment horizontal="center"/>
    </xf>
    <xf numFmtId="0" fontId="0" fillId="5" borderId="10" xfId="0" applyFill="1" applyBorder="1"/>
    <xf numFmtId="0" fontId="18" fillId="10" borderId="0" xfId="0" applyFont="1" applyFill="1" applyBorder="1"/>
    <xf numFmtId="0" fontId="17" fillId="10" borderId="0" xfId="0" applyFont="1" applyFill="1" applyBorder="1"/>
    <xf numFmtId="0" fontId="7" fillId="0" borderId="4" xfId="0" applyFont="1" applyBorder="1" applyAlignment="1">
      <alignment horizontal="center"/>
    </xf>
    <xf numFmtId="0" fontId="10" fillId="15" borderId="0" xfId="0" applyFont="1" applyFill="1" applyBorder="1"/>
    <xf numFmtId="0" fontId="11" fillId="15" borderId="15" xfId="0" applyFont="1" applyFill="1" applyBorder="1"/>
    <xf numFmtId="0" fontId="11" fillId="15" borderId="0" xfId="0" applyFont="1" applyFill="1" applyBorder="1"/>
    <xf numFmtId="2" fontId="11" fillId="15" borderId="16" xfId="0" applyNumberFormat="1" applyFont="1" applyFill="1" applyBorder="1"/>
    <xf numFmtId="0" fontId="11" fillId="15" borderId="16" xfId="0" applyFont="1" applyFill="1" applyBorder="1"/>
    <xf numFmtId="0" fontId="11" fillId="15" borderId="0" xfId="0" applyFont="1" applyFill="1"/>
    <xf numFmtId="0" fontId="0" fillId="15" borderId="0" xfId="0" applyFill="1"/>
    <xf numFmtId="0" fontId="10" fillId="15" borderId="17" xfId="0" applyFont="1" applyFill="1" applyBorder="1"/>
    <xf numFmtId="0" fontId="11" fillId="15" borderId="18" xfId="0" applyFont="1" applyFill="1" applyBorder="1"/>
    <xf numFmtId="2" fontId="11" fillId="15" borderId="18" xfId="0" applyNumberFormat="1" applyFont="1" applyFill="1" applyBorder="1"/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8" borderId="11" xfId="1" applyFont="1" applyFill="1" applyBorder="1" applyAlignment="1">
      <alignment horizontal="center" vertical="center"/>
    </xf>
    <xf numFmtId="0" fontId="9" fillId="8" borderId="12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10" fillId="6" borderId="0" xfId="0" applyFont="1" applyFill="1" applyBorder="1" applyAlignment="1"/>
    <xf numFmtId="0" fontId="0" fillId="0" borderId="0" xfId="0" applyAlignment="1"/>
    <xf numFmtId="2" fontId="7" fillId="11" borderId="40" xfId="0" applyNumberFormat="1" applyFont="1" applyFill="1" applyBorder="1" applyAlignment="1">
      <alignment horizontal="center"/>
    </xf>
    <xf numFmtId="0" fontId="0" fillId="11" borderId="40" xfId="0" applyFill="1" applyBorder="1" applyAlignment="1"/>
    <xf numFmtId="166" fontId="7" fillId="11" borderId="40" xfId="0" applyNumberFormat="1" applyFont="1" applyFill="1" applyBorder="1" applyAlignment="1">
      <alignment horizontal="center"/>
    </xf>
    <xf numFmtId="166" fontId="0" fillId="11" borderId="40" xfId="0" applyNumberFormat="1" applyFill="1" applyBorder="1" applyAlignment="1"/>
    <xf numFmtId="2" fontId="16" fillId="11" borderId="42" xfId="0" applyNumberFormat="1" applyFont="1" applyFill="1" applyBorder="1" applyAlignment="1">
      <alignment horizontal="center"/>
    </xf>
    <xf numFmtId="2" fontId="16" fillId="11" borderId="43" xfId="0" applyNumberFormat="1" applyFont="1" applyFill="1" applyBorder="1" applyAlignment="1">
      <alignment horizontal="center"/>
    </xf>
    <xf numFmtId="0" fontId="3" fillId="11" borderId="45" xfId="0" applyFont="1" applyFill="1" applyBorder="1" applyAlignment="1">
      <alignment horizontal="center" vertical="top"/>
    </xf>
    <xf numFmtId="0" fontId="0" fillId="11" borderId="46" xfId="0" applyFill="1" applyBorder="1" applyAlignment="1">
      <alignment vertical="top"/>
    </xf>
    <xf numFmtId="0" fontId="0" fillId="11" borderId="47" xfId="0" applyFill="1" applyBorder="1" applyAlignment="1">
      <alignment vertical="top"/>
    </xf>
    <xf numFmtId="0" fontId="0" fillId="11" borderId="48" xfId="0" applyFill="1" applyBorder="1" applyAlignment="1">
      <alignment vertical="top"/>
    </xf>
  </cellXfs>
  <cellStyles count="3">
    <cellStyle name="Euro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'[1]22-2-2018'!$K$10:$K$11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'[1]22-2-2018'!$K$12:$K$19</c:f>
              <c:numCache>
                <c:formatCode>General</c:formatCode>
                <c:ptCount val="8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C-437C-AA6F-D1B9E900F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31008"/>
        <c:axId val="92337280"/>
      </c:lineChart>
      <c:catAx>
        <c:axId val="9233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37280"/>
        <c:crosses val="autoZero"/>
        <c:auto val="1"/>
        <c:lblAlgn val="ctr"/>
        <c:lblOffset val="100"/>
        <c:noMultiLvlLbl val="0"/>
      </c:catAx>
      <c:valAx>
        <c:axId val="9233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3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'[1]22-2-2018'!$L$10:$L$11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'[1]22-2-2018'!$L$12:$L$19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4-49E2-B2E5-399431B74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6992"/>
        <c:axId val="92358912"/>
      </c:lineChart>
      <c:catAx>
        <c:axId val="9235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8912"/>
        <c:crosses val="autoZero"/>
        <c:auto val="1"/>
        <c:lblAlgn val="ctr"/>
        <c:lblOffset val="100"/>
        <c:noMultiLvlLbl val="0"/>
      </c:catAx>
      <c:valAx>
        <c:axId val="9235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'[1]22-2-2018'!$K$10:$K$11</c:f>
              <c:strCache>
                <c:ptCount val="1"/>
                <c:pt idx="0">
                  <c:v>Sal [ppt]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'[1]22-2-2018'!$K$12:$K$19</c:f>
              <c:numCache>
                <c:formatCode>General</c:formatCode>
                <c:ptCount val="8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C-437C-AA6F-D1B9E900F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2656"/>
        <c:axId val="92508928"/>
      </c:lineChart>
      <c:catAx>
        <c:axId val="9250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8928"/>
        <c:crosses val="autoZero"/>
        <c:auto val="1"/>
        <c:lblAlgn val="ctr"/>
        <c:lblOffset val="100"/>
        <c:noMultiLvlLbl val="0"/>
      </c:catAx>
      <c:valAx>
        <c:axId val="9250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2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'[1]22-2-2018'!$L$10:$L$11</c:f>
              <c:strCache>
                <c:ptCount val="1"/>
                <c:pt idx="0">
                  <c:v>TDS [mg/l]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'[1]22-2-2018'!$B$12:$B$19</c:f>
              <c:strCache>
                <c:ptCount val="8"/>
                <c:pt idx="0">
                  <c:v>Imbocco Belfiore</c:v>
                </c:pt>
                <c:pt idx="1">
                  <c:v>viale Pintentino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'[1]22-2-2018'!$L$12:$L$19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4-49E2-B2E5-399431B74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9856"/>
        <c:axId val="92411776"/>
      </c:lineChart>
      <c:catAx>
        <c:axId val="9240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11776"/>
        <c:crosses val="autoZero"/>
        <c:auto val="1"/>
        <c:lblAlgn val="ctr"/>
        <c:lblOffset val="100"/>
        <c:noMultiLvlLbl val="0"/>
      </c:catAx>
      <c:valAx>
        <c:axId val="924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Progetto RIO Scuole  2018 </a:t>
            </a:r>
          </a:p>
          <a:p>
            <a:pPr>
              <a:defRPr/>
            </a:pPr>
            <a:r>
              <a:rPr lang="en-US"/>
              <a:t> Fosfati    PO4_P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tx2">
            <a:lumMod val="20000"/>
            <a:lumOff val="80000"/>
          </a:schemeClr>
        </a:solidFill>
      </c:spPr>
    </c:sideWall>
    <c:backWall>
      <c:thickness val="0"/>
      <c:spPr>
        <a:solidFill>
          <a:schemeClr val="tx2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'Fosfati-comparazione'!$B$18:$B$25</c:f>
              <c:strCache>
                <c:ptCount val="8"/>
                <c:pt idx="0">
                  <c:v>Imbocco Belfiore</c:v>
                </c:pt>
                <c:pt idx="1">
                  <c:v>viale Pitentino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'Fosfati-comparazione'!$D$18:$D$25</c:f>
              <c:numCache>
                <c:formatCode>0.00</c:formatCode>
                <c:ptCount val="8"/>
                <c:pt idx="0">
                  <c:v>0.13333333333333333</c:v>
                </c:pt>
                <c:pt idx="1">
                  <c:v>0.14333333333333334</c:v>
                </c:pt>
                <c:pt idx="2">
                  <c:v>0.13333333333333333</c:v>
                </c:pt>
                <c:pt idx="3">
                  <c:v>0.13999999999999999</c:v>
                </c:pt>
                <c:pt idx="4">
                  <c:v>0.12333333333333334</c:v>
                </c:pt>
                <c:pt idx="5">
                  <c:v>0.11333333333333334</c:v>
                </c:pt>
                <c:pt idx="6">
                  <c:v>0.15333333333333335</c:v>
                </c:pt>
                <c:pt idx="7">
                  <c:v>0.15666666666666665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C-4F1A-8B10-1B90D289048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'Fosfati-comparazione'!$B$18:$B$25</c:f>
              <c:strCache>
                <c:ptCount val="8"/>
                <c:pt idx="0">
                  <c:v>Imbocco Belfiore</c:v>
                </c:pt>
                <c:pt idx="1">
                  <c:v>viale Pitentino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'Fosfati-comparazione'!$E$18:$E$25</c:f>
              <c:numCache>
                <c:formatCode>0.00</c:formatCode>
                <c:ptCount val="8"/>
                <c:pt idx="0">
                  <c:v>0.13333333333333333</c:v>
                </c:pt>
                <c:pt idx="1">
                  <c:v>0.15333333333333335</c:v>
                </c:pt>
                <c:pt idx="2">
                  <c:v>0.16333333333333333</c:v>
                </c:pt>
                <c:pt idx="3">
                  <c:v>0.16666666666666666</c:v>
                </c:pt>
                <c:pt idx="4">
                  <c:v>0.17333333333333334</c:v>
                </c:pt>
                <c:pt idx="5">
                  <c:v>0.18000000000000002</c:v>
                </c:pt>
                <c:pt idx="6">
                  <c:v>0.18333333333333335</c:v>
                </c:pt>
                <c:pt idx="7">
                  <c:v>0.18999999999999997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6C-4F1A-8B10-1B90D28904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002176"/>
        <c:axId val="92537600"/>
        <c:axId val="0"/>
      </c:bar3DChart>
      <c:catAx>
        <c:axId val="9400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537600"/>
        <c:crosses val="autoZero"/>
        <c:auto val="1"/>
        <c:lblAlgn val="ctr"/>
        <c:lblOffset val="100"/>
        <c:noMultiLvlLbl val="0"/>
      </c:catAx>
      <c:valAx>
        <c:axId val="925376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400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Progetto RIO Scuole 2018   </a:t>
            </a:r>
            <a:br>
              <a:rPr lang="en-US"/>
            </a:br>
            <a:r>
              <a:rPr lang="en-US"/>
              <a:t>Nitrati  NO3_N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'Nitrati-comparazione'!$B$18:$B$25</c:f>
              <c:strCache>
                <c:ptCount val="8"/>
                <c:pt idx="0">
                  <c:v>Imbocco Belfiore</c:v>
                </c:pt>
                <c:pt idx="1">
                  <c:v>viale Pitentino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'Nitrati-comparazione'!$D$18:$D$25</c:f>
              <c:numCache>
                <c:formatCode>0.00</c:formatCode>
                <c:ptCount val="8"/>
                <c:pt idx="0">
                  <c:v>0.69977426636568851</c:v>
                </c:pt>
                <c:pt idx="1">
                  <c:v>0.1399548532731377</c:v>
                </c:pt>
                <c:pt idx="2">
                  <c:v>0.83972911963882624</c:v>
                </c:pt>
                <c:pt idx="3">
                  <c:v>0.7787810383747179</c:v>
                </c:pt>
                <c:pt idx="4">
                  <c:v>7.900677200902935E-2</c:v>
                </c:pt>
                <c:pt idx="5">
                  <c:v>9.932279909706547E-2</c:v>
                </c:pt>
                <c:pt idx="6">
                  <c:v>0.90067720090293468</c:v>
                </c:pt>
                <c:pt idx="7">
                  <c:v>1.0022573363431153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7-4114-943A-355C34A71DCC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'Nitrati-comparazione'!$B$18:$B$25</c:f>
              <c:strCache>
                <c:ptCount val="8"/>
                <c:pt idx="0">
                  <c:v>Imbocco Belfiore</c:v>
                </c:pt>
                <c:pt idx="1">
                  <c:v>viale Pitentino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'Nitrati-comparazione'!$E$18:$E$25</c:f>
              <c:numCache>
                <c:formatCode>0.00</c:formatCode>
                <c:ptCount val="8"/>
                <c:pt idx="0">
                  <c:v>9.932279909706547E-2</c:v>
                </c:pt>
                <c:pt idx="1">
                  <c:v>0.11963882618510159</c:v>
                </c:pt>
                <c:pt idx="2">
                  <c:v>0.20090293453724606</c:v>
                </c:pt>
                <c:pt idx="3">
                  <c:v>0.83972911963882624</c:v>
                </c:pt>
                <c:pt idx="4">
                  <c:v>0.89841986455981948</c:v>
                </c:pt>
                <c:pt idx="5">
                  <c:v>0.83972911963882624</c:v>
                </c:pt>
                <c:pt idx="6">
                  <c:v>0.7404063205417607</c:v>
                </c:pt>
                <c:pt idx="7">
                  <c:v>0.95936794582392781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67-4114-943A-355C34A71D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933952"/>
        <c:axId val="93935488"/>
        <c:axId val="0"/>
      </c:bar3DChart>
      <c:catAx>
        <c:axId val="9393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935488"/>
        <c:crosses val="autoZero"/>
        <c:auto val="1"/>
        <c:lblAlgn val="ctr"/>
        <c:lblOffset val="100"/>
        <c:noMultiLvlLbl val="0"/>
      </c:catAx>
      <c:valAx>
        <c:axId val="939354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393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Progetto RIO Scuole 2018   </a:t>
            </a:r>
            <a:br>
              <a:rPr lang="en-US"/>
            </a:br>
            <a:r>
              <a:rPr lang="en-US"/>
              <a:t>NITRATI</a:t>
            </a:r>
            <a:r>
              <a:rPr lang="en-US" baseline="0"/>
              <a:t>  </a:t>
            </a:r>
            <a:r>
              <a:rPr lang="en-US"/>
              <a:t>NO3_N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'Nitrati-comparazione'!$B$18:$B$25</c:f>
              <c:strCache>
                <c:ptCount val="8"/>
                <c:pt idx="0">
                  <c:v>Imbocco Belfiore</c:v>
                </c:pt>
                <c:pt idx="1">
                  <c:v>viale Pitentino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'Nitrati-comparazione'!$H$18:$H$25</c:f>
              <c:numCache>
                <c:formatCode>0.00</c:formatCode>
                <c:ptCount val="8"/>
                <c:pt idx="0">
                  <c:v>1.2121896162528218</c:v>
                </c:pt>
                <c:pt idx="1">
                  <c:v>1.1106094808126412</c:v>
                </c:pt>
                <c:pt idx="2">
                  <c:v>1.1647855530474043</c:v>
                </c:pt>
                <c:pt idx="3">
                  <c:v>1.2821670428893905</c:v>
                </c:pt>
                <c:pt idx="4">
                  <c:v>1.3927765237020318</c:v>
                </c:pt>
                <c:pt idx="5">
                  <c:v>1.3679458239277653</c:v>
                </c:pt>
                <c:pt idx="6">
                  <c:v>1.3769751693002259</c:v>
                </c:pt>
                <c:pt idx="7">
                  <c:v>1.5665914221218964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4-4136-8B6F-59C4EB153D2E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'Nitrati-comparazione'!$B$18:$B$25</c:f>
              <c:strCache>
                <c:ptCount val="8"/>
                <c:pt idx="0">
                  <c:v>Imbocco Belfiore</c:v>
                </c:pt>
                <c:pt idx="1">
                  <c:v>viale Pitentino</c:v>
                </c:pt>
                <c:pt idx="2">
                  <c:v>via Solferino</c:v>
                </c:pt>
                <c:pt idx="3">
                  <c:v>piazza Cavallotti</c:v>
                </c:pt>
                <c:pt idx="4">
                  <c:v>piazza Martiri</c:v>
                </c:pt>
                <c:pt idx="5">
                  <c:v>via Pescheria</c:v>
                </c:pt>
                <c:pt idx="6">
                  <c:v>via Massari</c:v>
                </c:pt>
                <c:pt idx="7">
                  <c:v>via Trieste</c:v>
                </c:pt>
              </c:strCache>
            </c:strRef>
          </c:cat>
          <c:val>
            <c:numRef>
              <c:f>'Nitrati-comparazione'!$I$18:$I$25</c:f>
              <c:numCache>
                <c:formatCode>0.00</c:formatCode>
                <c:ptCount val="8"/>
                <c:pt idx="0">
                  <c:v>3.2844243792325063</c:v>
                </c:pt>
                <c:pt idx="1">
                  <c:v>3.426636568848759</c:v>
                </c:pt>
                <c:pt idx="2">
                  <c:v>3.3137697516930027</c:v>
                </c:pt>
                <c:pt idx="3">
                  <c:v>3.4424379232505649</c:v>
                </c:pt>
                <c:pt idx="4">
                  <c:v>3.1151241534988721</c:v>
                </c:pt>
                <c:pt idx="5">
                  <c:v>3.9209932279909712</c:v>
                </c:pt>
                <c:pt idx="6">
                  <c:v>3.3453724604966144</c:v>
                </c:pt>
                <c:pt idx="7">
                  <c:v>3.4311512415349892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44-4136-8B6F-59C4EB153D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957504"/>
        <c:axId val="93959296"/>
        <c:axId val="0"/>
      </c:bar3DChart>
      <c:catAx>
        <c:axId val="93957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3959296"/>
        <c:crosses val="autoZero"/>
        <c:auto val="1"/>
        <c:lblAlgn val="ctr"/>
        <c:lblOffset val="100"/>
        <c:noMultiLvlLbl val="0"/>
      </c:catAx>
      <c:valAx>
        <c:axId val="939592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mg/L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395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69</xdr:row>
      <xdr:rowOff>19050</xdr:rowOff>
    </xdr:from>
    <xdr:to>
      <xdr:col>8</xdr:col>
      <xdr:colOff>523875</xdr:colOff>
      <xdr:row>81</xdr:row>
      <xdr:rowOff>133350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711A5C4-375F-4483-8C4F-B04E76EFC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69</xdr:row>
      <xdr:rowOff>19050</xdr:rowOff>
    </xdr:from>
    <xdr:to>
      <xdr:col>12</xdr:col>
      <xdr:colOff>0</xdr:colOff>
      <xdr:row>81</xdr:row>
      <xdr:rowOff>133350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59395A1-AAF8-4629-8058-19BFE113C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981075</xdr:colOff>
      <xdr:row>3</xdr:row>
      <xdr:rowOff>238125</xdr:rowOff>
    </xdr:to>
    <xdr:pic>
      <xdr:nvPicPr>
        <xdr:cNvPr id="4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9525"/>
          <a:ext cx="952500" cy="809625"/>
        </a:xfrm>
        <a:prstGeom prst="rect">
          <a:avLst/>
        </a:prstGeom>
        <a:noFill/>
        <a:ln w="9525">
          <a:solidFill>
            <a:schemeClr val="tx2">
              <a:lumMod val="40000"/>
              <a:lumOff val="6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13</xdr:col>
      <xdr:colOff>47625</xdr:colOff>
      <xdr:row>0</xdr:row>
      <xdr:rowOff>47625</xdr:rowOff>
    </xdr:from>
    <xdr:to>
      <xdr:col>13</xdr:col>
      <xdr:colOff>1266825</xdr:colOff>
      <xdr:row>4</xdr:row>
      <xdr:rowOff>9525</xdr:rowOff>
    </xdr:to>
    <xdr:pic>
      <xdr:nvPicPr>
        <xdr:cNvPr id="5" name="Immagine 33" descr="logo-contratto-fiume-minciio-didascalia-mincio-15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563475" y="47625"/>
          <a:ext cx="1219200" cy="790575"/>
        </a:xfrm>
        <a:prstGeom prst="rect">
          <a:avLst/>
        </a:prstGeom>
        <a:noFill/>
        <a:ln w="9525">
          <a:solidFill>
            <a:srgbClr val="8EB4E3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69</xdr:row>
      <xdr:rowOff>19050</xdr:rowOff>
    </xdr:from>
    <xdr:to>
      <xdr:col>8</xdr:col>
      <xdr:colOff>523875</xdr:colOff>
      <xdr:row>81</xdr:row>
      <xdr:rowOff>133350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711A5C4-375F-4483-8C4F-B04E76EFC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676275</xdr:colOff>
      <xdr:row>69</xdr:row>
      <xdr:rowOff>19050</xdr:rowOff>
    </xdr:from>
    <xdr:to>
      <xdr:col>12</xdr:col>
      <xdr:colOff>0</xdr:colOff>
      <xdr:row>81</xdr:row>
      <xdr:rowOff>133350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59395A1-AAF8-4629-8058-19BFE113C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9526</xdr:rowOff>
    </xdr:from>
    <xdr:to>
      <xdr:col>0</xdr:col>
      <xdr:colOff>981075</xdr:colOff>
      <xdr:row>3</xdr:row>
      <xdr:rowOff>211581</xdr:rowOff>
    </xdr:to>
    <xdr:pic>
      <xdr:nvPicPr>
        <xdr:cNvPr id="4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9526"/>
          <a:ext cx="952500" cy="783080"/>
        </a:xfrm>
        <a:prstGeom prst="rect">
          <a:avLst/>
        </a:prstGeom>
        <a:noFill/>
        <a:ln w="9525">
          <a:solidFill>
            <a:schemeClr val="tx2">
              <a:lumMod val="40000"/>
              <a:lumOff val="6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66674</xdr:colOff>
      <xdr:row>3</xdr:row>
      <xdr:rowOff>28575</xdr:rowOff>
    </xdr:from>
    <xdr:to>
      <xdr:col>10</xdr:col>
      <xdr:colOff>400050</xdr:colOff>
      <xdr:row>6</xdr:row>
      <xdr:rowOff>142875</xdr:rowOff>
    </xdr:to>
    <xdr:pic>
      <xdr:nvPicPr>
        <xdr:cNvPr id="5" name="Immagine 33" descr="logo-contratto-fiume-minciio-didascalia-mincio-150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867899" y="609600"/>
          <a:ext cx="1038226" cy="790575"/>
        </a:xfrm>
        <a:prstGeom prst="rect">
          <a:avLst/>
        </a:prstGeom>
        <a:noFill/>
        <a:ln w="9525">
          <a:solidFill>
            <a:srgbClr val="8EB4E3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0</xdr:col>
      <xdr:colOff>1019175</xdr:colOff>
      <xdr:row>3</xdr:row>
      <xdr:rowOff>211581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6"/>
          <a:ext cx="1019175" cy="783080"/>
        </a:xfrm>
        <a:prstGeom prst="rect">
          <a:avLst/>
        </a:prstGeom>
        <a:noFill/>
        <a:ln w="9525">
          <a:solidFill>
            <a:schemeClr val="tx2">
              <a:lumMod val="40000"/>
              <a:lumOff val="6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19050</xdr:rowOff>
    </xdr:from>
    <xdr:to>
      <xdr:col>13</xdr:col>
      <xdr:colOff>552450</xdr:colOff>
      <xdr:row>3</xdr:row>
      <xdr:rowOff>228600</xdr:rowOff>
    </xdr:to>
    <xdr:pic>
      <xdr:nvPicPr>
        <xdr:cNvPr id="3" name="Immagine 33" descr="logo-contratto-fiume-minciio-didascalia-mincio-15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82700" y="19050"/>
          <a:ext cx="1162050" cy="790575"/>
        </a:xfrm>
        <a:prstGeom prst="rect">
          <a:avLst/>
        </a:prstGeom>
        <a:noFill/>
        <a:ln w="9525">
          <a:solidFill>
            <a:srgbClr val="8EB4E3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32</xdr:row>
      <xdr:rowOff>142874</xdr:rowOff>
    </xdr:from>
    <xdr:to>
      <xdr:col>5</xdr:col>
      <xdr:colOff>495300</xdr:colOff>
      <xdr:row>54</xdr:row>
      <xdr:rowOff>9525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58</xdr:row>
      <xdr:rowOff>57150</xdr:rowOff>
    </xdr:from>
    <xdr:to>
      <xdr:col>3</xdr:col>
      <xdr:colOff>657225</xdr:colOff>
      <xdr:row>72</xdr:row>
      <xdr:rowOff>57150</xdr:rowOff>
    </xdr:to>
    <xdr:pic>
      <xdr:nvPicPr>
        <xdr:cNvPr id="7" name="Immagine 6"/>
        <xdr:cNvPicPr/>
      </xdr:nvPicPr>
      <xdr:blipFill>
        <a:blip xmlns:r="http://schemas.openxmlformats.org/officeDocument/2006/relationships" r:embed="rId4" cstate="print"/>
        <a:srcRect l="27224" t="32456" r="28354" b="27778"/>
        <a:stretch>
          <a:fillRect/>
        </a:stretch>
      </xdr:blipFill>
      <xdr:spPr bwMode="auto">
        <a:xfrm>
          <a:off x="1333500" y="11363325"/>
          <a:ext cx="4524375" cy="2667000"/>
        </a:xfrm>
        <a:prstGeom prst="rect">
          <a:avLst/>
        </a:prstGeom>
        <a:noFill/>
        <a:ln w="9525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123826</xdr:colOff>
      <xdr:row>58</xdr:row>
      <xdr:rowOff>66674</xdr:rowOff>
    </xdr:from>
    <xdr:to>
      <xdr:col>7</xdr:col>
      <xdr:colOff>561976</xdr:colOff>
      <xdr:row>69</xdr:row>
      <xdr:rowOff>76200</xdr:rowOff>
    </xdr:to>
    <xdr:pic>
      <xdr:nvPicPr>
        <xdr:cNvPr id="8" name="Immagine 7"/>
        <xdr:cNvPicPr/>
      </xdr:nvPicPr>
      <xdr:blipFill>
        <a:blip xmlns:r="http://schemas.openxmlformats.org/officeDocument/2006/relationships" r:embed="rId5" cstate="print"/>
        <a:srcRect l="33593" t="39766" r="34992" b="31871"/>
        <a:stretch>
          <a:fillRect/>
        </a:stretch>
      </xdr:blipFill>
      <xdr:spPr bwMode="auto">
        <a:xfrm>
          <a:off x="7324726" y="11372849"/>
          <a:ext cx="3952875" cy="2105026"/>
        </a:xfrm>
        <a:prstGeom prst="rect">
          <a:avLst/>
        </a:prstGeom>
        <a:noFill/>
        <a:ln w="9525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0.76849</cdr:x>
      <cdr:y>0.03521</cdr:y>
    </cdr:from>
    <cdr:to>
      <cdr:x>0.89068</cdr:x>
      <cdr:y>0.16197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4552950" y="142877"/>
          <a:ext cx="723900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0.72508</cdr:x>
      <cdr:y>0.03521</cdr:y>
    </cdr:from>
    <cdr:to>
      <cdr:x>0.96463</cdr:x>
      <cdr:y>0.1784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4295775" y="142876"/>
          <a:ext cx="141922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0.76527</cdr:x>
      <cdr:y>0.03052</cdr:y>
    </cdr:from>
    <cdr:to>
      <cdr:x>0.96463</cdr:x>
      <cdr:y>0.14554</cdr:y>
    </cdr:to>
    <cdr:sp macro="" textlink="">
      <cdr:nvSpPr>
        <cdr:cNvPr id="5" name="CasellaDiTesto 4"/>
        <cdr:cNvSpPr txBox="1"/>
      </cdr:nvSpPr>
      <cdr:spPr>
        <a:xfrm xmlns:a="http://schemas.openxmlformats.org/drawingml/2006/main">
          <a:off x="4533901" y="123826"/>
          <a:ext cx="11811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/>
            <a:t>         22.02.2018</a:t>
          </a:r>
          <a:br>
            <a:rPr lang="it-IT" sz="1100"/>
          </a:br>
          <a:r>
            <a:rPr lang="it-IT" sz="1100"/>
            <a:t>         12</a:t>
          </a:r>
          <a:r>
            <a:rPr lang="it-IT" sz="1100" baseline="0"/>
            <a:t> .04.2018</a:t>
          </a:r>
          <a:endParaRPr lang="it-IT" sz="1100"/>
        </a:p>
      </cdr:txBody>
    </cdr:sp>
  </cdr:relSizeAnchor>
  <cdr:relSizeAnchor xmlns:cdr="http://schemas.openxmlformats.org/drawingml/2006/chartDrawing">
    <cdr:from>
      <cdr:x>0.78154</cdr:x>
      <cdr:y>0.05399</cdr:y>
    </cdr:from>
    <cdr:to>
      <cdr:x>0.79977</cdr:x>
      <cdr:y>0.08061</cdr:y>
    </cdr:to>
    <cdr:sp macro="" textlink="">
      <cdr:nvSpPr>
        <cdr:cNvPr id="6" name="Rettangolo 5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6461532" y="219076"/>
          <a:ext cx="150714" cy="1080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0.7813</cdr:x>
      <cdr:y>0.0939</cdr:y>
    </cdr:from>
    <cdr:to>
      <cdr:x>0.79792</cdr:x>
      <cdr:y>0.11817</cdr:y>
    </cdr:to>
    <cdr:sp macro="" textlink="">
      <cdr:nvSpPr>
        <cdr:cNvPr id="7" name="Rettangolo 6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6459541" y="380999"/>
          <a:ext cx="137422" cy="984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it-I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9526</xdr:rowOff>
    </xdr:from>
    <xdr:to>
      <xdr:col>0</xdr:col>
      <xdr:colOff>914400</xdr:colOff>
      <xdr:row>3</xdr:row>
      <xdr:rowOff>183006</xdr:rowOff>
    </xdr:to>
    <xdr:pic>
      <xdr:nvPicPr>
        <xdr:cNvPr id="2" name="Immagine 1" descr="labter-crea-nuovo-logo-1-1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9526"/>
          <a:ext cx="885825" cy="754505"/>
        </a:xfrm>
        <a:prstGeom prst="rect">
          <a:avLst/>
        </a:prstGeom>
        <a:noFill/>
        <a:ln w="9525">
          <a:solidFill>
            <a:schemeClr val="tx2">
              <a:lumMod val="40000"/>
              <a:lumOff val="6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0</xdr:row>
      <xdr:rowOff>19050</xdr:rowOff>
    </xdr:from>
    <xdr:to>
      <xdr:col>13</xdr:col>
      <xdr:colOff>381000</xdr:colOff>
      <xdr:row>3</xdr:row>
      <xdr:rowOff>180975</xdr:rowOff>
    </xdr:to>
    <xdr:pic>
      <xdr:nvPicPr>
        <xdr:cNvPr id="3" name="Immagine 33" descr="logo-contratto-fiume-minciio-didascalia-mincio-15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982700" y="19050"/>
          <a:ext cx="990600" cy="742950"/>
        </a:xfrm>
        <a:prstGeom prst="rect">
          <a:avLst/>
        </a:prstGeom>
        <a:noFill/>
        <a:ln w="9525">
          <a:solidFill>
            <a:srgbClr val="8EB4E3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1333499</xdr:colOff>
      <xdr:row>62</xdr:row>
      <xdr:rowOff>142875</xdr:rowOff>
    </xdr:from>
    <xdr:to>
      <xdr:col>3</xdr:col>
      <xdr:colOff>1057274</xdr:colOff>
      <xdr:row>79</xdr:row>
      <xdr:rowOff>9525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3" cstate="print"/>
        <a:srcRect l="27224" t="32456" r="28354" b="27778"/>
        <a:stretch>
          <a:fillRect/>
        </a:stretch>
      </xdr:blipFill>
      <xdr:spPr bwMode="auto">
        <a:xfrm>
          <a:off x="1333499" y="13382625"/>
          <a:ext cx="5133975" cy="3190875"/>
        </a:xfrm>
        <a:prstGeom prst="rect">
          <a:avLst/>
        </a:prstGeom>
        <a:noFill/>
        <a:ln w="9525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xdr:spPr>
    </xdr:pic>
    <xdr:clientData/>
  </xdr:twoCellAnchor>
  <xdr:twoCellAnchor editAs="oneCell">
    <xdr:from>
      <xdr:col>3</xdr:col>
      <xdr:colOff>1866900</xdr:colOff>
      <xdr:row>62</xdr:row>
      <xdr:rowOff>152400</xdr:rowOff>
    </xdr:from>
    <xdr:to>
      <xdr:col>7</xdr:col>
      <xdr:colOff>466725</xdr:colOff>
      <xdr:row>78</xdr:row>
      <xdr:rowOff>171450</xdr:rowOff>
    </xdr:to>
    <xdr:pic>
      <xdr:nvPicPr>
        <xdr:cNvPr id="6" name="Immagine 5"/>
        <xdr:cNvPicPr/>
      </xdr:nvPicPr>
      <xdr:blipFill>
        <a:blip xmlns:r="http://schemas.openxmlformats.org/officeDocument/2006/relationships" r:embed="rId4" cstate="print"/>
        <a:srcRect l="33593" t="39766" r="34992" b="31871"/>
        <a:stretch>
          <a:fillRect/>
        </a:stretch>
      </xdr:blipFill>
      <xdr:spPr bwMode="auto">
        <a:xfrm>
          <a:off x="7067550" y="13392150"/>
          <a:ext cx="4524375" cy="3152775"/>
        </a:xfrm>
        <a:prstGeom prst="rect">
          <a:avLst/>
        </a:prstGeom>
        <a:noFill/>
        <a:ln w="9525">
          <a:solidFill>
            <a:schemeClr val="tx2">
              <a:lumMod val="60000"/>
              <a:lumOff val="40000"/>
            </a:schemeClr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542923</xdr:colOff>
      <xdr:row>33</xdr:row>
      <xdr:rowOff>104775</xdr:rowOff>
    </xdr:from>
    <xdr:to>
      <xdr:col>5</xdr:col>
      <xdr:colOff>28574</xdr:colOff>
      <xdr:row>58</xdr:row>
      <xdr:rowOff>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19050</xdr:colOff>
      <xdr:row>33</xdr:row>
      <xdr:rowOff>28574</xdr:rowOff>
    </xdr:from>
    <xdr:to>
      <xdr:col>9</xdr:col>
      <xdr:colOff>2686050</xdr:colOff>
      <xdr:row>57</xdr:row>
      <xdr:rowOff>123825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676275</xdr:colOff>
      <xdr:row>59</xdr:row>
      <xdr:rowOff>142875</xdr:rowOff>
    </xdr:from>
    <xdr:to>
      <xdr:col>8</xdr:col>
      <xdr:colOff>1981200</xdr:colOff>
      <xdr:row>68</xdr:row>
      <xdr:rowOff>57150</xdr:rowOff>
    </xdr:to>
    <xdr:sp macro="" textlink="">
      <xdr:nvSpPr>
        <xdr:cNvPr id="9" name="Freccia in giù 8"/>
        <xdr:cNvSpPr/>
      </xdr:nvSpPr>
      <xdr:spPr>
        <a:xfrm>
          <a:off x="14297025" y="12553950"/>
          <a:ext cx="1304925" cy="17049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0.79418</cdr:x>
      <cdr:y>0.04499</cdr:y>
    </cdr:from>
    <cdr:to>
      <cdr:x>0.96871</cdr:x>
      <cdr:y>0.14519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5802031" y="209550"/>
          <a:ext cx="1275045" cy="466725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chemeClr val="tx2">
              <a:lumMod val="20000"/>
              <a:lumOff val="8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         22.02.2018</a:t>
          </a:r>
          <a:br>
            <a:rPr lang="it-IT" sz="1100"/>
          </a:br>
          <a:r>
            <a:rPr lang="it-IT" sz="1100"/>
            <a:t>         12</a:t>
          </a:r>
          <a:r>
            <a:rPr lang="it-IT" sz="1100" baseline="0"/>
            <a:t> .04.2018</a:t>
          </a:r>
          <a:endParaRPr lang="it-IT" sz="1100"/>
        </a:p>
      </cdr:txBody>
    </cdr:sp>
  </cdr:relSizeAnchor>
  <cdr:relSizeAnchor xmlns:cdr="http://schemas.openxmlformats.org/drawingml/2006/chartDrawing">
    <cdr:from>
      <cdr:x>0.81776</cdr:x>
      <cdr:y>0.06544</cdr:y>
    </cdr:from>
    <cdr:to>
      <cdr:x>0.83962</cdr:x>
      <cdr:y>0.08863</cdr:y>
    </cdr:to>
    <cdr:sp macro="" textlink="">
      <cdr:nvSpPr>
        <cdr:cNvPr id="3" name="Rettangolo 2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974285" y="304800"/>
          <a:ext cx="159743" cy="1080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0.81747</cdr:x>
      <cdr:y>0.1002</cdr:y>
    </cdr:from>
    <cdr:to>
      <cdr:x>0.83741</cdr:x>
      <cdr:y>0.12135</cdr:y>
    </cdr:to>
    <cdr:sp macro="" textlink="">
      <cdr:nvSpPr>
        <cdr:cNvPr id="4" name="Rettangolo 3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972175" y="466723"/>
          <a:ext cx="145655" cy="984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0.78894</cdr:x>
      <cdr:y>0.03878</cdr:y>
    </cdr:from>
    <cdr:to>
      <cdr:x>0.97005</cdr:x>
      <cdr:y>0.13878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5981700" y="180975"/>
          <a:ext cx="1373125" cy="466725"/>
        </a:xfrm>
        <a:prstGeom xmlns:a="http://schemas.openxmlformats.org/drawingml/2006/main" prst="rect">
          <a:avLst/>
        </a:prstGeom>
        <a:ln xmlns:a="http://schemas.openxmlformats.org/drawingml/2006/main" w="19050">
          <a:solidFill>
            <a:schemeClr val="tx2">
              <a:lumMod val="20000"/>
              <a:lumOff val="8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         22.02.2018</a:t>
          </a:r>
          <a:br>
            <a:rPr lang="it-IT" sz="1100"/>
          </a:br>
          <a:r>
            <a:rPr lang="it-IT" sz="1100"/>
            <a:t>         12</a:t>
          </a:r>
          <a:r>
            <a:rPr lang="it-IT" sz="1100" baseline="0"/>
            <a:t> .04.2018</a:t>
          </a:r>
          <a:endParaRPr lang="it-IT" sz="1100"/>
        </a:p>
      </cdr:txBody>
    </cdr:sp>
  </cdr:relSizeAnchor>
  <cdr:relSizeAnchor xmlns:cdr="http://schemas.openxmlformats.org/drawingml/2006/chartDrawing">
    <cdr:from>
      <cdr:x>0.8106</cdr:x>
      <cdr:y>0.05714</cdr:y>
    </cdr:from>
    <cdr:to>
      <cdr:x>0.83329</cdr:x>
      <cdr:y>0.08028</cdr:y>
    </cdr:to>
    <cdr:sp macro="" textlink="">
      <cdr:nvSpPr>
        <cdr:cNvPr id="3" name="Rettangolo 2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6145897" y="266700"/>
          <a:ext cx="172031" cy="108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0.8103</cdr:x>
      <cdr:y>0.09184</cdr:y>
    </cdr:from>
    <cdr:to>
      <cdr:x>0.83099</cdr:x>
      <cdr:y>0.11294</cdr:y>
    </cdr:to>
    <cdr:sp macro="" textlink="">
      <cdr:nvSpPr>
        <cdr:cNvPr id="4" name="Rettangolo 3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6143625" y="428623"/>
          <a:ext cx="156859" cy="98475"/>
        </a:xfrm>
        <a:prstGeom xmlns:a="http://schemas.openxmlformats.org/drawingml/2006/main" prst="rect">
          <a:avLst/>
        </a:prstGeom>
        <a:solidFill xmlns:a="http://schemas.openxmlformats.org/drawingml/2006/main">
          <a:srgbClr val="C0504D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it-IT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14</xdr:row>
      <xdr:rowOff>57150</xdr:rowOff>
    </xdr:from>
    <xdr:to>
      <xdr:col>8</xdr:col>
      <xdr:colOff>9525</xdr:colOff>
      <xdr:row>17</xdr:row>
      <xdr:rowOff>57150</xdr:rowOff>
    </xdr:to>
    <xdr:sp macro="" textlink="">
      <xdr:nvSpPr>
        <xdr:cNvPr id="2" name="Freccia in su 1"/>
        <xdr:cNvSpPr/>
      </xdr:nvSpPr>
      <xdr:spPr>
        <a:xfrm>
          <a:off x="5286375" y="3324225"/>
          <a:ext cx="704850" cy="571500"/>
        </a:xfrm>
        <a:prstGeom prst="up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14</xdr:row>
      <xdr:rowOff>0</xdr:rowOff>
    </xdr:from>
    <xdr:to>
      <xdr:col>9</xdr:col>
      <xdr:colOff>95250</xdr:colOff>
      <xdr:row>17</xdr:row>
      <xdr:rowOff>0</xdr:rowOff>
    </xdr:to>
    <xdr:sp macro="" textlink="">
      <xdr:nvSpPr>
        <xdr:cNvPr id="2" name="Freccia in su 1"/>
        <xdr:cNvSpPr/>
      </xdr:nvSpPr>
      <xdr:spPr>
        <a:xfrm>
          <a:off x="4876800" y="3267075"/>
          <a:ext cx="704850" cy="571500"/>
        </a:xfrm>
        <a:prstGeom prst="up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del%20disco%20H-1.08.2015/web2011/Web21/progetto-rio/progetto-rio-scuole-2018/campagne-monitoraggio-arpa/campagna-febbraio-2018/Analisi%20con%20sonda%20multiparametrica-aprile-2017-febbra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 BIANCO"/>
      <sheetName val="7-4-2017"/>
      <sheetName val="4-5-2017"/>
      <sheetName val="14-6-2017"/>
      <sheetName val="4-9-2017"/>
      <sheetName val="28-9-2017"/>
      <sheetName val="22-11-2017"/>
      <sheetName val="20-12-2017"/>
      <sheetName val="31-1-2018"/>
      <sheetName val="22-2-2018"/>
      <sheetName val="Grafici comparati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E10" t="str">
            <v>T ACQUA</v>
          </cell>
          <cell r="K10" t="str">
            <v>Sal</v>
          </cell>
          <cell r="L10" t="str">
            <v>TDS</v>
          </cell>
        </row>
        <row r="11">
          <cell r="K11" t="str">
            <v>[ppt]</v>
          </cell>
          <cell r="L11" t="str">
            <v>[mg/l]</v>
          </cell>
        </row>
        <row r="12">
          <cell r="B12" t="str">
            <v>Imbocco Belfiore</v>
          </cell>
          <cell r="K12">
            <v>0.21</v>
          </cell>
        </row>
        <row r="13">
          <cell r="B13" t="str">
            <v>viale Pintentino</v>
          </cell>
          <cell r="K13">
            <v>0.21</v>
          </cell>
        </row>
        <row r="14">
          <cell r="B14" t="str">
            <v>via Solferino</v>
          </cell>
          <cell r="K14">
            <v>0.21</v>
          </cell>
        </row>
        <row r="15">
          <cell r="B15" t="str">
            <v>piazza Cavallotti</v>
          </cell>
          <cell r="K15">
            <v>0.21</v>
          </cell>
        </row>
        <row r="16">
          <cell r="B16" t="str">
            <v>piazza Martiri</v>
          </cell>
          <cell r="K16">
            <v>0.21</v>
          </cell>
        </row>
        <row r="17">
          <cell r="B17" t="str">
            <v>via Pescheria</v>
          </cell>
          <cell r="K17">
            <v>0.21</v>
          </cell>
        </row>
        <row r="18">
          <cell r="B18" t="str">
            <v>via Massari</v>
          </cell>
          <cell r="K18">
            <v>0.21</v>
          </cell>
        </row>
        <row r="19">
          <cell r="B19" t="str">
            <v>via Trieste</v>
          </cell>
          <cell r="K19">
            <v>0.21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0"/>
  <sheetViews>
    <sheetView workbookViewId="0">
      <selection activeCell="A6" sqref="A6"/>
    </sheetView>
  </sheetViews>
  <sheetFormatPr defaultRowHeight="15" x14ac:dyDescent="0.25"/>
  <cols>
    <col min="1" max="1" width="16.42578125" customWidth="1"/>
    <col min="2" max="2" width="20.5703125" style="88" customWidth="1"/>
    <col min="3" max="3" width="10" customWidth="1"/>
    <col min="4" max="4" width="13.140625" bestFit="1" customWidth="1"/>
    <col min="5" max="5" width="11.5703125" customWidth="1"/>
    <col min="6" max="6" width="13.85546875" customWidth="1"/>
    <col min="7" max="7" width="15.140625" customWidth="1"/>
    <col min="9" max="9" width="11.28515625" customWidth="1"/>
    <col min="10" max="10" width="10.5703125" customWidth="1"/>
    <col min="11" max="11" width="10.7109375" customWidth="1"/>
    <col min="12" max="12" width="11.5703125" customWidth="1"/>
    <col min="13" max="13" width="33.7109375" bestFit="1" customWidth="1"/>
    <col min="14" max="14" width="34.28515625" bestFit="1" customWidth="1"/>
    <col min="15" max="15" width="32.85546875" style="16" bestFit="1" customWidth="1"/>
    <col min="16" max="16" width="34.28515625" style="16" bestFit="1" customWidth="1"/>
    <col min="17" max="17" width="34.28515625" style="50" customWidth="1"/>
    <col min="18" max="18" width="26.7109375" style="50" customWidth="1"/>
    <col min="19" max="19" width="23.42578125" style="50" customWidth="1"/>
    <col min="21" max="21" width="26.5703125" bestFit="1" customWidth="1"/>
  </cols>
  <sheetData>
    <row r="2" spans="1:26" x14ac:dyDescent="0.25">
      <c r="D2" s="183" t="s">
        <v>43</v>
      </c>
      <c r="E2" s="184"/>
      <c r="F2" s="185"/>
      <c r="G2" s="186"/>
      <c r="H2" s="187"/>
      <c r="I2" s="184"/>
      <c r="J2" s="188"/>
      <c r="K2" s="184"/>
      <c r="L2" s="188"/>
      <c r="M2" s="189"/>
    </row>
    <row r="3" spans="1:26" ht="15.75" thickBot="1" x14ac:dyDescent="0.3">
      <c r="D3" s="190" t="s">
        <v>38</v>
      </c>
      <c r="E3" s="191"/>
      <c r="F3" s="188"/>
      <c r="G3" s="192"/>
      <c r="H3" s="191"/>
      <c r="I3" s="191"/>
      <c r="J3" s="191"/>
      <c r="K3" s="191"/>
      <c r="L3" s="191"/>
      <c r="M3" s="189"/>
    </row>
    <row r="4" spans="1:26" ht="19.5" thickBot="1" x14ac:dyDescent="0.35">
      <c r="B4" s="89" t="s">
        <v>42</v>
      </c>
      <c r="C4" s="179"/>
    </row>
    <row r="5" spans="1:26" x14ac:dyDescent="0.25">
      <c r="D5" s="40" t="s">
        <v>39</v>
      </c>
      <c r="E5" s="41"/>
      <c r="F5" s="41"/>
      <c r="G5" s="42"/>
      <c r="H5" s="41"/>
      <c r="I5" s="51"/>
    </row>
    <row r="6" spans="1:26" s="91" customFormat="1" ht="21" x14ac:dyDescent="0.35">
      <c r="A6" s="95" t="s">
        <v>44</v>
      </c>
      <c r="B6" s="96"/>
      <c r="C6" s="97"/>
      <c r="D6" s="180"/>
      <c r="E6" s="181"/>
      <c r="F6" s="92"/>
      <c r="G6" s="93"/>
      <c r="H6" s="92"/>
      <c r="I6" s="92"/>
      <c r="O6" s="94"/>
      <c r="P6" s="94"/>
      <c r="Q6" s="94"/>
      <c r="R6" s="94"/>
      <c r="S6" s="94"/>
    </row>
    <row r="7" spans="1:26" ht="18" x14ac:dyDescent="0.25">
      <c r="A7" s="43" t="s">
        <v>45</v>
      </c>
      <c r="G7" s="1"/>
      <c r="I7" s="2"/>
    </row>
    <row r="8" spans="1:26" ht="18.75" thickBot="1" x14ac:dyDescent="0.3">
      <c r="A8" s="43"/>
      <c r="G8" s="1"/>
      <c r="I8" s="2"/>
      <c r="O8" s="50"/>
      <c r="P8" s="50"/>
    </row>
    <row r="9" spans="1:26" ht="15.75" thickBot="1" x14ac:dyDescent="0.3">
      <c r="C9" t="s">
        <v>75</v>
      </c>
      <c r="D9" s="196" t="s">
        <v>73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  <c r="U9" s="58" t="s">
        <v>64</v>
      </c>
    </row>
    <row r="10" spans="1:26" ht="16.5" thickBot="1" x14ac:dyDescent="0.3">
      <c r="D10" s="199" t="s">
        <v>71</v>
      </c>
      <c r="E10" s="200"/>
      <c r="F10" s="200"/>
      <c r="G10" s="200"/>
      <c r="H10" s="200"/>
      <c r="I10" s="200"/>
      <c r="J10" s="200"/>
      <c r="K10" s="200"/>
      <c r="L10" s="200"/>
      <c r="M10" s="201" t="s">
        <v>62</v>
      </c>
      <c r="N10" s="202"/>
      <c r="O10" s="202"/>
      <c r="P10" s="202"/>
      <c r="Q10" s="202"/>
      <c r="R10" s="202"/>
      <c r="S10" s="203"/>
      <c r="U10" s="49" t="s">
        <v>40</v>
      </c>
    </row>
    <row r="11" spans="1:26" ht="21" thickBot="1" x14ac:dyDescent="0.35">
      <c r="A11" s="47" t="s">
        <v>33</v>
      </c>
      <c r="M11" s="201" t="s">
        <v>63</v>
      </c>
      <c r="N11" s="202"/>
      <c r="O11" s="202"/>
      <c r="P11" s="202"/>
      <c r="Q11" s="202"/>
      <c r="R11" s="202"/>
      <c r="S11" s="203"/>
      <c r="U11" s="49" t="s">
        <v>36</v>
      </c>
      <c r="V11" s="25"/>
      <c r="W11" s="25"/>
      <c r="X11" s="25"/>
      <c r="Y11" s="30"/>
      <c r="Z11" s="48"/>
    </row>
    <row r="12" spans="1:26" ht="16.5" thickBot="1" x14ac:dyDescent="0.3">
      <c r="A12" s="3"/>
      <c r="U12" s="17"/>
    </row>
    <row r="13" spans="1:26" ht="16.5" thickBot="1" x14ac:dyDescent="0.3">
      <c r="A13" s="4"/>
      <c r="D13" s="193" t="s">
        <v>70</v>
      </c>
      <c r="E13" s="194"/>
      <c r="F13" s="194"/>
      <c r="G13" s="194"/>
      <c r="H13" s="194"/>
      <c r="I13" s="194"/>
      <c r="J13" s="194"/>
      <c r="K13" s="194"/>
      <c r="L13" s="195"/>
      <c r="M13" s="170" t="s">
        <v>66</v>
      </c>
      <c r="N13" s="170" t="s">
        <v>65</v>
      </c>
      <c r="O13" s="170" t="s">
        <v>66</v>
      </c>
      <c r="P13" s="170" t="s">
        <v>65</v>
      </c>
      <c r="Q13" s="174" t="s">
        <v>65</v>
      </c>
      <c r="R13" s="193" t="s">
        <v>72</v>
      </c>
      <c r="S13" s="195"/>
    </row>
    <row r="14" spans="1:26" ht="15.75" thickBot="1" x14ac:dyDescent="0.3">
      <c r="B14" s="90"/>
      <c r="D14" t="s">
        <v>0</v>
      </c>
      <c r="E14" t="s">
        <v>46</v>
      </c>
      <c r="M14" s="165"/>
      <c r="N14" s="165"/>
      <c r="O14" s="173"/>
      <c r="P14" s="173"/>
      <c r="Q14" s="173"/>
    </row>
    <row r="15" spans="1:26" ht="16.5" thickTop="1" x14ac:dyDescent="0.25">
      <c r="A15" s="6" t="s">
        <v>37</v>
      </c>
      <c r="B15" s="26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8" t="s">
        <v>11</v>
      </c>
      <c r="M15" s="125" t="s">
        <v>41</v>
      </c>
      <c r="N15" s="125" t="s">
        <v>41</v>
      </c>
      <c r="O15" s="125" t="s">
        <v>30</v>
      </c>
      <c r="P15" s="125" t="s">
        <v>30</v>
      </c>
      <c r="Q15" s="125" t="s">
        <v>84</v>
      </c>
      <c r="R15" s="8" t="s">
        <v>34</v>
      </c>
      <c r="S15" s="8" t="s">
        <v>69</v>
      </c>
      <c r="U15" s="56" t="s">
        <v>34</v>
      </c>
    </row>
    <row r="16" spans="1:26" ht="15.75" customHeight="1" thickBot="1" x14ac:dyDescent="0.3">
      <c r="A16" s="9"/>
      <c r="B16" s="27"/>
      <c r="C16" s="10"/>
      <c r="D16" s="10" t="s">
        <v>18</v>
      </c>
      <c r="E16" s="10" t="s">
        <v>17</v>
      </c>
      <c r="F16" s="10" t="s">
        <v>12</v>
      </c>
      <c r="G16" s="10" t="s">
        <v>13</v>
      </c>
      <c r="H16" s="10" t="s">
        <v>14</v>
      </c>
      <c r="I16" s="10"/>
      <c r="J16" s="10" t="s">
        <v>15</v>
      </c>
      <c r="K16" s="10" t="s">
        <v>16</v>
      </c>
      <c r="L16" s="11" t="s">
        <v>14</v>
      </c>
      <c r="M16" s="171" t="s">
        <v>67</v>
      </c>
      <c r="N16" s="126" t="s">
        <v>67</v>
      </c>
      <c r="O16" s="126" t="s">
        <v>31</v>
      </c>
      <c r="P16" s="171" t="s">
        <v>68</v>
      </c>
      <c r="Q16" s="171" t="s">
        <v>85</v>
      </c>
      <c r="R16" s="11" t="s">
        <v>35</v>
      </c>
      <c r="S16" s="11" t="s">
        <v>35</v>
      </c>
      <c r="U16" s="57" t="s">
        <v>35</v>
      </c>
    </row>
    <row r="17" spans="1:22" s="78" customFormat="1" ht="30" customHeight="1" thickTop="1" x14ac:dyDescent="0.3">
      <c r="A17" s="70">
        <v>1</v>
      </c>
      <c r="B17" s="85" t="s">
        <v>47</v>
      </c>
      <c r="C17" s="71" t="s">
        <v>54</v>
      </c>
      <c r="D17" s="72">
        <v>3</v>
      </c>
      <c r="E17" s="73">
        <v>7.06</v>
      </c>
      <c r="F17" s="73">
        <v>429.9</v>
      </c>
      <c r="G17" s="73">
        <v>94.4</v>
      </c>
      <c r="H17" s="74">
        <v>11.44</v>
      </c>
      <c r="I17" s="74">
        <v>7.79</v>
      </c>
      <c r="J17" s="75"/>
      <c r="K17" s="74">
        <v>0.21</v>
      </c>
      <c r="L17" s="76"/>
      <c r="M17" s="158">
        <v>0.4</v>
      </c>
      <c r="N17" s="172" t="s">
        <v>74</v>
      </c>
      <c r="O17" s="166">
        <v>3.1</v>
      </c>
      <c r="P17" s="158">
        <v>5.37</v>
      </c>
      <c r="Q17" s="175">
        <v>9.4600000000000009</v>
      </c>
      <c r="R17" s="120">
        <v>0</v>
      </c>
      <c r="S17" s="61">
        <v>0</v>
      </c>
      <c r="T17" s="62"/>
      <c r="U17" s="63">
        <v>0</v>
      </c>
      <c r="V17" s="77"/>
    </row>
    <row r="18" spans="1:22" s="78" customFormat="1" ht="30" customHeight="1" x14ac:dyDescent="0.3">
      <c r="A18" s="70">
        <v>2</v>
      </c>
      <c r="B18" s="86" t="s">
        <v>139</v>
      </c>
      <c r="C18" s="71" t="s">
        <v>55</v>
      </c>
      <c r="D18" s="72">
        <v>3</v>
      </c>
      <c r="E18" s="72">
        <v>7.22</v>
      </c>
      <c r="F18" s="72">
        <v>429.1</v>
      </c>
      <c r="G18" s="72">
        <v>94.6</v>
      </c>
      <c r="H18" s="79">
        <v>11.37</v>
      </c>
      <c r="I18" s="79">
        <v>7.89</v>
      </c>
      <c r="J18" s="75"/>
      <c r="K18" s="79">
        <v>0.21</v>
      </c>
      <c r="L18" s="80"/>
      <c r="M18" s="158">
        <v>0.43</v>
      </c>
      <c r="N18" s="158" t="s">
        <v>74</v>
      </c>
      <c r="O18" s="167">
        <v>0.62</v>
      </c>
      <c r="P18" s="158">
        <v>4.92</v>
      </c>
      <c r="Q18" s="176">
        <v>10.41</v>
      </c>
      <c r="R18" s="121">
        <v>0</v>
      </c>
      <c r="S18" s="61">
        <v>6</v>
      </c>
      <c r="T18" s="62"/>
      <c r="U18" s="65">
        <v>30</v>
      </c>
      <c r="V18" s="77"/>
    </row>
    <row r="19" spans="1:22" s="78" customFormat="1" ht="30" customHeight="1" x14ac:dyDescent="0.3">
      <c r="A19" s="70">
        <v>3</v>
      </c>
      <c r="B19" s="86" t="s">
        <v>48</v>
      </c>
      <c r="C19" s="71" t="s">
        <v>56</v>
      </c>
      <c r="D19" s="72">
        <v>3</v>
      </c>
      <c r="E19" s="72">
        <v>7.11</v>
      </c>
      <c r="F19" s="72">
        <v>430.5</v>
      </c>
      <c r="G19" s="72">
        <v>94.9</v>
      </c>
      <c r="H19" s="79">
        <v>11.45</v>
      </c>
      <c r="I19" s="79">
        <v>7.9</v>
      </c>
      <c r="J19" s="75"/>
      <c r="K19" s="79">
        <v>0.21</v>
      </c>
      <c r="L19" s="80"/>
      <c r="M19" s="158">
        <v>0.4</v>
      </c>
      <c r="N19" s="158" t="s">
        <v>74</v>
      </c>
      <c r="O19" s="167">
        <v>3.72</v>
      </c>
      <c r="P19" s="158">
        <v>5.16</v>
      </c>
      <c r="Q19" s="176">
        <v>10.56</v>
      </c>
      <c r="R19" s="121">
        <v>0</v>
      </c>
      <c r="S19" s="61">
        <v>10</v>
      </c>
      <c r="T19" s="62"/>
      <c r="U19" s="65">
        <v>24</v>
      </c>
      <c r="V19" s="77"/>
    </row>
    <row r="20" spans="1:22" s="78" customFormat="1" ht="30" customHeight="1" x14ac:dyDescent="0.3">
      <c r="A20" s="70">
        <v>4</v>
      </c>
      <c r="B20" s="86" t="s">
        <v>49</v>
      </c>
      <c r="C20" s="71" t="s">
        <v>57</v>
      </c>
      <c r="D20" s="72">
        <v>3</v>
      </c>
      <c r="E20" s="72">
        <v>6.99</v>
      </c>
      <c r="F20" s="72">
        <v>429</v>
      </c>
      <c r="G20" s="72">
        <v>94.3</v>
      </c>
      <c r="H20" s="79">
        <v>11.42</v>
      </c>
      <c r="I20" s="79">
        <v>7.89</v>
      </c>
      <c r="J20" s="75"/>
      <c r="K20" s="79">
        <v>0.21</v>
      </c>
      <c r="L20" s="80"/>
      <c r="M20" s="158">
        <v>0.42</v>
      </c>
      <c r="N20" s="158" t="s">
        <v>74</v>
      </c>
      <c r="O20" s="167">
        <v>3.45</v>
      </c>
      <c r="P20" s="158">
        <v>5.68</v>
      </c>
      <c r="Q20" s="176">
        <v>10.89</v>
      </c>
      <c r="R20" s="121">
        <v>40</v>
      </c>
      <c r="S20" s="61">
        <v>40</v>
      </c>
      <c r="T20" s="62"/>
      <c r="U20" s="65">
        <v>90</v>
      </c>
      <c r="V20" s="77"/>
    </row>
    <row r="21" spans="1:22" s="78" customFormat="1" ht="30" customHeight="1" x14ac:dyDescent="0.3">
      <c r="A21" s="70">
        <v>5</v>
      </c>
      <c r="B21" s="86" t="s">
        <v>50</v>
      </c>
      <c r="C21" s="71" t="s">
        <v>58</v>
      </c>
      <c r="D21" s="72">
        <v>3</v>
      </c>
      <c r="E21" s="72">
        <v>6.91</v>
      </c>
      <c r="F21" s="72">
        <v>429</v>
      </c>
      <c r="G21" s="72">
        <v>95.5</v>
      </c>
      <c r="H21" s="79">
        <v>11.6</v>
      </c>
      <c r="I21" s="79">
        <v>7.91</v>
      </c>
      <c r="J21" s="75"/>
      <c r="K21" s="79">
        <v>0.21</v>
      </c>
      <c r="L21" s="80"/>
      <c r="M21" s="158">
        <v>0.37</v>
      </c>
      <c r="N21" s="158" t="s">
        <v>74</v>
      </c>
      <c r="O21" s="167">
        <v>0.35</v>
      </c>
      <c r="P21" s="158">
        <v>6.17</v>
      </c>
      <c r="Q21" s="176">
        <v>11.19</v>
      </c>
      <c r="R21" s="121">
        <v>40</v>
      </c>
      <c r="S21" s="61">
        <v>18</v>
      </c>
      <c r="T21" s="62"/>
      <c r="U21" s="65">
        <v>84</v>
      </c>
      <c r="V21" s="77"/>
    </row>
    <row r="22" spans="1:22" s="78" customFormat="1" ht="30" customHeight="1" x14ac:dyDescent="0.3">
      <c r="A22" s="70">
        <v>6</v>
      </c>
      <c r="B22" s="86" t="s">
        <v>51</v>
      </c>
      <c r="C22" s="71" t="s">
        <v>59</v>
      </c>
      <c r="D22" s="72">
        <v>3</v>
      </c>
      <c r="E22" s="72">
        <v>6.88</v>
      </c>
      <c r="F22" s="72">
        <v>429</v>
      </c>
      <c r="G22" s="72">
        <v>94.9</v>
      </c>
      <c r="H22" s="79">
        <v>11.53</v>
      </c>
      <c r="I22" s="79">
        <v>7.89</v>
      </c>
      <c r="J22" s="75"/>
      <c r="K22" s="79">
        <v>0.21</v>
      </c>
      <c r="L22" s="80"/>
      <c r="M22" s="158">
        <v>0.34</v>
      </c>
      <c r="N22" s="158" t="s">
        <v>74</v>
      </c>
      <c r="O22" s="167">
        <v>0.44</v>
      </c>
      <c r="P22" s="158">
        <v>6.06</v>
      </c>
      <c r="Q22" s="176">
        <v>12.62</v>
      </c>
      <c r="R22" s="121">
        <v>0</v>
      </c>
      <c r="S22" s="61">
        <v>34</v>
      </c>
      <c r="T22" s="62"/>
      <c r="U22" s="65">
        <v>190</v>
      </c>
      <c r="V22" s="77"/>
    </row>
    <row r="23" spans="1:22" s="78" customFormat="1" ht="30" customHeight="1" x14ac:dyDescent="0.3">
      <c r="A23" s="70">
        <v>7</v>
      </c>
      <c r="B23" s="86" t="s">
        <v>52</v>
      </c>
      <c r="C23" s="71" t="s">
        <v>60</v>
      </c>
      <c r="D23" s="72">
        <v>3</v>
      </c>
      <c r="E23" s="72">
        <v>6.87</v>
      </c>
      <c r="F23" s="72">
        <v>430</v>
      </c>
      <c r="G23" s="72">
        <v>95.2</v>
      </c>
      <c r="H23" s="79">
        <v>11.57</v>
      </c>
      <c r="I23" s="79">
        <v>7.95</v>
      </c>
      <c r="J23" s="75"/>
      <c r="K23" s="79">
        <v>0.21</v>
      </c>
      <c r="L23" s="80"/>
      <c r="M23" s="158">
        <v>0.46</v>
      </c>
      <c r="N23" s="158" t="s">
        <v>74</v>
      </c>
      <c r="O23" s="167">
        <v>3.99</v>
      </c>
      <c r="P23" s="158">
        <v>6.1</v>
      </c>
      <c r="Q23" s="176">
        <v>11.83</v>
      </c>
      <c r="R23" s="121">
        <v>140</v>
      </c>
      <c r="S23" s="61">
        <v>20</v>
      </c>
      <c r="T23" s="62"/>
      <c r="U23" s="65">
        <v>116</v>
      </c>
      <c r="V23" s="77"/>
    </row>
    <row r="24" spans="1:22" s="78" customFormat="1" ht="30" customHeight="1" thickBot="1" x14ac:dyDescent="0.35">
      <c r="A24" s="81">
        <v>8</v>
      </c>
      <c r="B24" s="87" t="s">
        <v>53</v>
      </c>
      <c r="C24" s="82" t="s">
        <v>61</v>
      </c>
      <c r="D24" s="83">
        <v>3</v>
      </c>
      <c r="E24" s="83">
        <v>7.07</v>
      </c>
      <c r="F24" s="83">
        <v>437</v>
      </c>
      <c r="G24" s="83">
        <v>93.4</v>
      </c>
      <c r="H24" s="82">
        <v>11.29</v>
      </c>
      <c r="I24" s="82">
        <v>7.85</v>
      </c>
      <c r="J24" s="82"/>
      <c r="K24" s="82">
        <v>0.21</v>
      </c>
      <c r="L24" s="84"/>
      <c r="M24" s="123">
        <v>0.47</v>
      </c>
      <c r="N24" s="168" t="s">
        <v>74</v>
      </c>
      <c r="O24" s="161">
        <v>4.4400000000000004</v>
      </c>
      <c r="P24" s="168">
        <v>6.94</v>
      </c>
      <c r="Q24" s="177">
        <v>10.7</v>
      </c>
      <c r="R24" s="66">
        <v>120</v>
      </c>
      <c r="S24" s="67">
        <v>28</v>
      </c>
      <c r="T24" s="62"/>
      <c r="U24" s="68" t="s">
        <v>76</v>
      </c>
      <c r="V24" s="77"/>
    </row>
    <row r="25" spans="1:22" ht="30" customHeight="1" thickTop="1" x14ac:dyDescent="0.25">
      <c r="A25" s="52"/>
      <c r="B25" s="53"/>
      <c r="C25" s="21"/>
      <c r="D25" s="22"/>
      <c r="E25" s="22"/>
      <c r="F25" s="23"/>
      <c r="G25" s="23"/>
      <c r="H25" s="22"/>
      <c r="I25" s="22"/>
      <c r="J25" s="23"/>
      <c r="K25" s="24"/>
      <c r="L25" s="22"/>
      <c r="M25" s="54"/>
      <c r="N25" s="24"/>
      <c r="O25" s="54"/>
      <c r="P25" s="24"/>
      <c r="Q25" s="24"/>
      <c r="R25" s="24"/>
      <c r="S25" s="24"/>
      <c r="U25" s="19"/>
    </row>
    <row r="26" spans="1:22" ht="30" customHeight="1" x14ac:dyDescent="0.25">
      <c r="A26" s="19"/>
      <c r="B26" s="55"/>
      <c r="C26" s="21"/>
      <c r="D26" s="22"/>
      <c r="E26" s="22"/>
      <c r="F26" s="23"/>
      <c r="G26" s="23"/>
      <c r="H26" s="22"/>
      <c r="I26" s="22"/>
      <c r="J26" s="23"/>
      <c r="K26" s="24"/>
      <c r="L26" s="22"/>
      <c r="M26" s="22"/>
      <c r="N26" s="22"/>
      <c r="O26" s="22"/>
      <c r="P26" s="22"/>
      <c r="Q26" s="22"/>
      <c r="R26" s="22"/>
      <c r="S26" s="22"/>
      <c r="U26" s="14" t="s">
        <v>77</v>
      </c>
    </row>
    <row r="27" spans="1:22" ht="30" customHeight="1" x14ac:dyDescent="0.25">
      <c r="A27" s="28" t="s">
        <v>32</v>
      </c>
      <c r="B27" s="55"/>
      <c r="C27" s="21"/>
      <c r="D27" s="22"/>
      <c r="E27" s="22"/>
      <c r="F27" s="23"/>
      <c r="G27" s="23"/>
      <c r="H27" s="23"/>
      <c r="I27" s="23"/>
      <c r="J27" s="23"/>
      <c r="K27" s="24"/>
      <c r="L27" s="23"/>
      <c r="M27" s="24"/>
      <c r="N27" s="24"/>
      <c r="O27" s="24"/>
      <c r="P27" s="24"/>
      <c r="Q27" s="24"/>
      <c r="R27" s="24"/>
      <c r="S27" s="24"/>
      <c r="U27" s="18"/>
    </row>
    <row r="28" spans="1:22" x14ac:dyDescent="0.25">
      <c r="E28" s="12"/>
      <c r="F28" s="12"/>
      <c r="G28" s="12"/>
      <c r="H28" s="13"/>
      <c r="I28" s="12"/>
      <c r="J28" s="12"/>
      <c r="K28" s="13"/>
      <c r="L28" s="12"/>
    </row>
    <row r="29" spans="1:22" x14ac:dyDescent="0.25">
      <c r="B29" s="88" t="s">
        <v>29</v>
      </c>
      <c r="O29"/>
      <c r="P29"/>
      <c r="Q29"/>
    </row>
    <row r="30" spans="1:22" x14ac:dyDescent="0.25">
      <c r="A30" t="s">
        <v>24</v>
      </c>
      <c r="O30"/>
      <c r="P30"/>
      <c r="Q30"/>
    </row>
    <row r="31" spans="1:22" x14ac:dyDescent="0.25">
      <c r="A31" t="s">
        <v>6</v>
      </c>
      <c r="B31" s="88" t="s">
        <v>19</v>
      </c>
      <c r="O31"/>
      <c r="P31"/>
      <c r="Q31"/>
    </row>
    <row r="32" spans="1:22" x14ac:dyDescent="0.25">
      <c r="A32" t="s">
        <v>20</v>
      </c>
      <c r="B32" s="88" t="s">
        <v>21</v>
      </c>
      <c r="O32"/>
      <c r="P32"/>
      <c r="Q32"/>
    </row>
    <row r="33" spans="1:19" x14ac:dyDescent="0.25">
      <c r="A33" t="s">
        <v>9</v>
      </c>
      <c r="B33" s="88" t="s">
        <v>22</v>
      </c>
      <c r="C33" t="s">
        <v>27</v>
      </c>
      <c r="O33"/>
      <c r="P33"/>
      <c r="Q33"/>
      <c r="R33" s="55"/>
      <c r="S33" s="55"/>
    </row>
    <row r="34" spans="1:19" x14ac:dyDescent="0.25">
      <c r="C34" t="s">
        <v>28</v>
      </c>
      <c r="O34"/>
      <c r="P34"/>
      <c r="Q34"/>
      <c r="R34" s="55"/>
      <c r="S34" s="55"/>
    </row>
    <row r="35" spans="1:19" x14ac:dyDescent="0.25">
      <c r="A35" t="s">
        <v>23</v>
      </c>
      <c r="B35" s="88" t="s">
        <v>25</v>
      </c>
      <c r="O35"/>
      <c r="P35"/>
      <c r="Q35"/>
      <c r="R35" s="55"/>
      <c r="S35" s="55"/>
    </row>
    <row r="36" spans="1:19" x14ac:dyDescent="0.25">
      <c r="A36" t="s">
        <v>11</v>
      </c>
      <c r="B36" s="88" t="s">
        <v>26</v>
      </c>
      <c r="O36"/>
      <c r="P36"/>
      <c r="Q36"/>
      <c r="R36" s="19"/>
      <c r="S36" s="19"/>
    </row>
    <row r="37" spans="1:19" x14ac:dyDescent="0.25">
      <c r="O37"/>
      <c r="P37"/>
      <c r="Q37"/>
    </row>
    <row r="38" spans="1:19" x14ac:dyDescent="0.25">
      <c r="O38"/>
      <c r="P38"/>
      <c r="Q38"/>
    </row>
    <row r="39" spans="1:19" x14ac:dyDescent="0.25">
      <c r="J39" s="45"/>
      <c r="O39"/>
      <c r="P39"/>
      <c r="Q39"/>
    </row>
    <row r="40" spans="1:19" x14ac:dyDescent="0.25">
      <c r="O40"/>
      <c r="P40"/>
      <c r="Q40"/>
    </row>
  </sheetData>
  <mergeCells count="6">
    <mergeCell ref="D13:L13"/>
    <mergeCell ref="R13:S13"/>
    <mergeCell ref="D9:S9"/>
    <mergeCell ref="D10:L10"/>
    <mergeCell ref="M10:S10"/>
    <mergeCell ref="M11:S11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0"/>
  <sheetViews>
    <sheetView tabSelected="1" workbookViewId="0">
      <selection activeCell="F8" sqref="F8"/>
    </sheetView>
  </sheetViews>
  <sheetFormatPr defaultRowHeight="15" x14ac:dyDescent="0.25"/>
  <cols>
    <col min="1" max="1" width="22.7109375" customWidth="1"/>
    <col min="2" max="2" width="40.140625" bestFit="1" customWidth="1"/>
    <col min="3" max="3" width="10" customWidth="1"/>
    <col min="4" max="4" width="13.140625" bestFit="1" customWidth="1"/>
    <col min="5" max="5" width="11.5703125" customWidth="1"/>
    <col min="6" max="6" width="13.85546875" customWidth="1"/>
    <col min="7" max="7" width="15.140625" customWidth="1"/>
    <col min="9" max="9" width="11.28515625" customWidth="1"/>
    <col min="10" max="10" width="10.5703125" customWidth="1"/>
    <col min="11" max="11" width="10.7109375" customWidth="1"/>
    <col min="12" max="12" width="15.7109375" customWidth="1"/>
    <col min="13" max="13" width="33.7109375" bestFit="1" customWidth="1"/>
    <col min="14" max="14" width="34.28515625" bestFit="1" customWidth="1"/>
    <col min="15" max="15" width="32.85546875" style="50" bestFit="1" customWidth="1"/>
    <col min="16" max="16" width="36.140625" style="50" customWidth="1"/>
    <col min="17" max="17" width="36.7109375" style="50" customWidth="1"/>
    <col min="18" max="18" width="26.7109375" style="50" customWidth="1"/>
    <col min="19" max="19" width="23.42578125" style="50" customWidth="1"/>
    <col min="21" max="21" width="26.5703125" bestFit="1" customWidth="1"/>
  </cols>
  <sheetData>
    <row r="2" spans="1:26" x14ac:dyDescent="0.25">
      <c r="B2" s="14"/>
      <c r="D2" s="204" t="s">
        <v>43</v>
      </c>
      <c r="E2" s="205"/>
      <c r="F2" s="205"/>
      <c r="G2" s="205"/>
      <c r="H2" s="205"/>
      <c r="I2" s="205"/>
      <c r="J2" s="205"/>
      <c r="K2" s="205"/>
      <c r="L2" s="205"/>
      <c r="M2" s="205"/>
    </row>
    <row r="3" spans="1:26" ht="15.75" thickBot="1" x14ac:dyDescent="0.3"/>
    <row r="4" spans="1:26" ht="19.5" thickBot="1" x14ac:dyDescent="0.35">
      <c r="B4" s="29" t="s">
        <v>42</v>
      </c>
    </row>
    <row r="5" spans="1:26" x14ac:dyDescent="0.25">
      <c r="D5" s="40" t="s">
        <v>39</v>
      </c>
      <c r="E5" s="41"/>
      <c r="F5" s="41"/>
      <c r="G5" s="42"/>
      <c r="H5" s="41"/>
      <c r="I5" s="51"/>
    </row>
    <row r="6" spans="1:26" ht="18.75" x14ac:dyDescent="0.3">
      <c r="A6" s="99" t="s">
        <v>78</v>
      </c>
      <c r="B6" s="98"/>
      <c r="D6" s="44"/>
      <c r="E6" s="45"/>
      <c r="F6" s="45"/>
      <c r="G6" s="46"/>
      <c r="H6" s="45"/>
      <c r="I6" s="45"/>
    </row>
    <row r="7" spans="1:26" ht="18" x14ac:dyDescent="0.25">
      <c r="A7" s="43" t="s">
        <v>45</v>
      </c>
      <c r="G7" s="1"/>
      <c r="I7" s="2"/>
    </row>
    <row r="8" spans="1:26" ht="18.75" thickBot="1" x14ac:dyDescent="0.3">
      <c r="A8" s="43"/>
      <c r="G8" s="1"/>
      <c r="I8" s="2"/>
    </row>
    <row r="9" spans="1:26" ht="15.75" thickBot="1" x14ac:dyDescent="0.3">
      <c r="D9" s="196" t="s">
        <v>79</v>
      </c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8"/>
      <c r="U9" s="58" t="s">
        <v>80</v>
      </c>
    </row>
    <row r="10" spans="1:26" ht="16.5" thickBot="1" x14ac:dyDescent="0.3">
      <c r="D10" s="199" t="s">
        <v>71</v>
      </c>
      <c r="E10" s="200"/>
      <c r="F10" s="200"/>
      <c r="G10" s="200"/>
      <c r="H10" s="200"/>
      <c r="I10" s="200"/>
      <c r="J10" s="200"/>
      <c r="K10" s="200"/>
      <c r="L10" s="200"/>
      <c r="M10" s="201" t="s">
        <v>62</v>
      </c>
      <c r="N10" s="202"/>
      <c r="O10" s="202"/>
      <c r="P10" s="202"/>
      <c r="Q10" s="202"/>
      <c r="R10" s="202"/>
      <c r="S10" s="203"/>
      <c r="U10" s="49" t="s">
        <v>40</v>
      </c>
    </row>
    <row r="11" spans="1:26" ht="21" thickBot="1" x14ac:dyDescent="0.35">
      <c r="A11" s="47" t="s">
        <v>33</v>
      </c>
      <c r="M11" s="201" t="s">
        <v>63</v>
      </c>
      <c r="N11" s="202"/>
      <c r="O11" s="202"/>
      <c r="P11" s="202"/>
      <c r="Q11" s="202"/>
      <c r="R11" s="202"/>
      <c r="S11" s="203"/>
      <c r="U11" s="49" t="s">
        <v>36</v>
      </c>
      <c r="V11" s="25"/>
      <c r="W11" s="25"/>
      <c r="X11" s="25"/>
      <c r="Y11" s="30"/>
      <c r="Z11" s="48"/>
    </row>
    <row r="12" spans="1:26" ht="16.5" thickBot="1" x14ac:dyDescent="0.3">
      <c r="A12" s="3"/>
      <c r="M12" s="165"/>
      <c r="U12" s="17"/>
    </row>
    <row r="13" spans="1:26" ht="16.5" thickBot="1" x14ac:dyDescent="0.3">
      <c r="A13" s="4"/>
      <c r="D13" s="193" t="s">
        <v>70</v>
      </c>
      <c r="E13" s="194"/>
      <c r="F13" s="194"/>
      <c r="G13" s="194"/>
      <c r="H13" s="194"/>
      <c r="I13" s="194"/>
      <c r="J13" s="194"/>
      <c r="K13" s="194"/>
      <c r="L13" s="195"/>
      <c r="M13" s="170" t="s">
        <v>66</v>
      </c>
      <c r="N13" s="170" t="s">
        <v>65</v>
      </c>
      <c r="O13" s="170" t="s">
        <v>66</v>
      </c>
      <c r="P13" s="170" t="s">
        <v>65</v>
      </c>
      <c r="Q13" s="170" t="s">
        <v>65</v>
      </c>
      <c r="R13" s="193" t="s">
        <v>72</v>
      </c>
      <c r="S13" s="195"/>
    </row>
    <row r="14" spans="1:26" ht="15.75" thickBot="1" x14ac:dyDescent="0.3">
      <c r="B14" s="5"/>
      <c r="D14" t="s">
        <v>0</v>
      </c>
      <c r="E14" t="s">
        <v>46</v>
      </c>
      <c r="M14" s="165"/>
      <c r="N14" s="165"/>
      <c r="O14" s="173"/>
      <c r="P14" s="173"/>
      <c r="Q14" s="173"/>
    </row>
    <row r="15" spans="1:26" ht="16.5" thickTop="1" x14ac:dyDescent="0.25">
      <c r="A15" s="6" t="s">
        <v>37</v>
      </c>
      <c r="B15" s="26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7" t="s">
        <v>10</v>
      </c>
      <c r="L15" s="8" t="s">
        <v>11</v>
      </c>
      <c r="M15" s="125" t="s">
        <v>41</v>
      </c>
      <c r="N15" s="125" t="s">
        <v>41</v>
      </c>
      <c r="O15" s="125" t="s">
        <v>30</v>
      </c>
      <c r="P15" s="125" t="s">
        <v>30</v>
      </c>
      <c r="Q15" s="125" t="s">
        <v>84</v>
      </c>
      <c r="R15" s="8" t="s">
        <v>34</v>
      </c>
      <c r="S15" s="8" t="s">
        <v>69</v>
      </c>
      <c r="U15" s="56" t="s">
        <v>34</v>
      </c>
    </row>
    <row r="16" spans="1:26" ht="15.75" customHeight="1" thickBot="1" x14ac:dyDescent="0.3">
      <c r="A16" s="9"/>
      <c r="B16" s="27"/>
      <c r="C16" s="10"/>
      <c r="D16" s="10" t="s">
        <v>18</v>
      </c>
      <c r="E16" s="10" t="s">
        <v>17</v>
      </c>
      <c r="F16" s="10" t="s">
        <v>12</v>
      </c>
      <c r="G16" s="10" t="s">
        <v>13</v>
      </c>
      <c r="H16" s="10" t="s">
        <v>14</v>
      </c>
      <c r="I16" s="10"/>
      <c r="J16" s="10" t="s">
        <v>15</v>
      </c>
      <c r="K16" s="10" t="s">
        <v>16</v>
      </c>
      <c r="L16" s="11" t="s">
        <v>14</v>
      </c>
      <c r="M16" s="171" t="s">
        <v>67</v>
      </c>
      <c r="N16" s="126" t="s">
        <v>67</v>
      </c>
      <c r="O16" s="126" t="s">
        <v>31</v>
      </c>
      <c r="P16" s="126" t="s">
        <v>68</v>
      </c>
      <c r="Q16" s="171" t="s">
        <v>85</v>
      </c>
      <c r="R16" s="11" t="s">
        <v>35</v>
      </c>
      <c r="S16" s="11" t="s">
        <v>35</v>
      </c>
      <c r="U16" s="102" t="s">
        <v>35</v>
      </c>
    </row>
    <row r="17" spans="1:22" s="78" customFormat="1" ht="19.5" thickTop="1" x14ac:dyDescent="0.3">
      <c r="A17" s="70">
        <v>1</v>
      </c>
      <c r="B17" s="85" t="s">
        <v>47</v>
      </c>
      <c r="C17" s="71" t="s">
        <v>81</v>
      </c>
      <c r="D17" s="72">
        <v>14.4</v>
      </c>
      <c r="E17" s="73">
        <v>14.4</v>
      </c>
      <c r="F17" s="73">
        <v>444</v>
      </c>
      <c r="G17" s="100">
        <v>110</v>
      </c>
      <c r="H17" s="74">
        <v>11.21</v>
      </c>
      <c r="I17" s="74">
        <v>8.41</v>
      </c>
      <c r="J17" s="74">
        <v>134</v>
      </c>
      <c r="K17" s="76">
        <v>0.16</v>
      </c>
      <c r="L17" s="76">
        <v>287</v>
      </c>
      <c r="M17" s="159">
        <v>0.4</v>
      </c>
      <c r="N17" s="172" t="s">
        <v>74</v>
      </c>
      <c r="O17" s="160">
        <v>0.44</v>
      </c>
      <c r="P17" s="159">
        <v>14.55</v>
      </c>
      <c r="Q17" s="159">
        <v>23.5</v>
      </c>
      <c r="R17" s="60">
        <v>40</v>
      </c>
      <c r="S17" s="61">
        <v>10</v>
      </c>
      <c r="U17" s="103">
        <v>100</v>
      </c>
      <c r="V17" s="77"/>
    </row>
    <row r="18" spans="1:22" s="78" customFormat="1" ht="18.75" x14ac:dyDescent="0.3">
      <c r="A18" s="70">
        <v>2</v>
      </c>
      <c r="B18" s="86" t="s">
        <v>139</v>
      </c>
      <c r="C18" s="71" t="s">
        <v>55</v>
      </c>
      <c r="D18" s="72">
        <v>15</v>
      </c>
      <c r="E18" s="72">
        <v>14.1</v>
      </c>
      <c r="F18" s="72">
        <v>459</v>
      </c>
      <c r="G18" s="75">
        <v>109.5</v>
      </c>
      <c r="H18" s="79">
        <v>11.1</v>
      </c>
      <c r="I18" s="79">
        <v>8.35</v>
      </c>
      <c r="J18" s="79">
        <v>203</v>
      </c>
      <c r="K18" s="80">
        <v>0.13</v>
      </c>
      <c r="L18" s="80">
        <v>306</v>
      </c>
      <c r="M18" s="160">
        <v>0.46</v>
      </c>
      <c r="N18" s="158" t="s">
        <v>74</v>
      </c>
      <c r="O18" s="160">
        <v>0.53</v>
      </c>
      <c r="P18" s="160">
        <v>15.18</v>
      </c>
      <c r="Q18" s="160">
        <v>23.49</v>
      </c>
      <c r="R18" s="64">
        <v>70</v>
      </c>
      <c r="S18" s="61">
        <v>15</v>
      </c>
      <c r="U18" s="104">
        <v>800</v>
      </c>
      <c r="V18" s="77"/>
    </row>
    <row r="19" spans="1:22" s="78" customFormat="1" ht="18.75" x14ac:dyDescent="0.3">
      <c r="A19" s="70">
        <v>3</v>
      </c>
      <c r="B19" s="86" t="s">
        <v>48</v>
      </c>
      <c r="C19" s="71" t="s">
        <v>56</v>
      </c>
      <c r="D19" s="72">
        <v>15.2</v>
      </c>
      <c r="E19" s="72">
        <v>14.2</v>
      </c>
      <c r="F19" s="72">
        <v>425</v>
      </c>
      <c r="G19" s="75">
        <v>108.9</v>
      </c>
      <c r="H19" s="79">
        <v>11.1</v>
      </c>
      <c r="I19" s="79">
        <v>8.73</v>
      </c>
      <c r="J19" s="79">
        <v>195</v>
      </c>
      <c r="K19" s="80">
        <v>0.15</v>
      </c>
      <c r="L19" s="80">
        <v>276</v>
      </c>
      <c r="M19" s="160">
        <v>0.49</v>
      </c>
      <c r="N19" s="158" t="s">
        <v>74</v>
      </c>
      <c r="O19" s="160">
        <v>0.89</v>
      </c>
      <c r="P19" s="160">
        <v>14.68</v>
      </c>
      <c r="Q19" s="160">
        <v>22.86</v>
      </c>
      <c r="R19" s="64">
        <v>80</v>
      </c>
      <c r="S19" s="61">
        <v>15</v>
      </c>
      <c r="U19" s="104">
        <v>170</v>
      </c>
      <c r="V19" s="77"/>
    </row>
    <row r="20" spans="1:22" s="78" customFormat="1" ht="18.75" x14ac:dyDescent="0.3">
      <c r="A20" s="70">
        <v>4</v>
      </c>
      <c r="B20" s="86" t="s">
        <v>49</v>
      </c>
      <c r="C20" s="71" t="s">
        <v>57</v>
      </c>
      <c r="D20" s="72">
        <v>15</v>
      </c>
      <c r="E20" s="72">
        <v>14.2</v>
      </c>
      <c r="F20" s="72">
        <v>423</v>
      </c>
      <c r="G20" s="75">
        <v>108.9</v>
      </c>
      <c r="H20" s="79">
        <v>11.1</v>
      </c>
      <c r="I20" s="79">
        <v>8.4600000000000009</v>
      </c>
      <c r="J20" s="79">
        <v>124</v>
      </c>
      <c r="K20" s="80">
        <v>0.15</v>
      </c>
      <c r="L20" s="80">
        <v>276</v>
      </c>
      <c r="M20" s="160">
        <v>0.5</v>
      </c>
      <c r="N20" s="158" t="s">
        <v>74</v>
      </c>
      <c r="O20" s="160">
        <v>3.72</v>
      </c>
      <c r="P20" s="160">
        <v>15.25</v>
      </c>
      <c r="Q20" s="160">
        <v>23.36</v>
      </c>
      <c r="R20" s="64">
        <v>110</v>
      </c>
      <c r="S20" s="61">
        <v>50</v>
      </c>
      <c r="U20" s="104">
        <v>300</v>
      </c>
      <c r="V20" s="77"/>
    </row>
    <row r="21" spans="1:22" s="78" customFormat="1" ht="18.75" x14ac:dyDescent="0.3">
      <c r="A21" s="70">
        <v>5</v>
      </c>
      <c r="B21" s="86" t="s">
        <v>50</v>
      </c>
      <c r="C21" s="71" t="s">
        <v>58</v>
      </c>
      <c r="D21" s="72">
        <v>15.2</v>
      </c>
      <c r="E21" s="72">
        <v>14.2</v>
      </c>
      <c r="F21" s="72">
        <v>427</v>
      </c>
      <c r="G21" s="75">
        <v>108</v>
      </c>
      <c r="H21" s="79">
        <v>10.97</v>
      </c>
      <c r="I21" s="79">
        <v>8.74</v>
      </c>
      <c r="J21" s="79">
        <v>106.7</v>
      </c>
      <c r="K21" s="80">
        <v>0.15</v>
      </c>
      <c r="L21" s="80">
        <v>277</v>
      </c>
      <c r="M21" s="160">
        <v>0.52</v>
      </c>
      <c r="N21" s="158" t="s">
        <v>74</v>
      </c>
      <c r="O21" s="160">
        <v>3.98</v>
      </c>
      <c r="P21" s="160">
        <v>13.8</v>
      </c>
      <c r="Q21" s="160">
        <v>21.66</v>
      </c>
      <c r="R21" s="64">
        <v>120</v>
      </c>
      <c r="S21" s="61">
        <v>20</v>
      </c>
      <c r="U21" s="104">
        <v>1500</v>
      </c>
      <c r="V21" s="77"/>
    </row>
    <row r="22" spans="1:22" s="78" customFormat="1" ht="18.75" x14ac:dyDescent="0.3">
      <c r="A22" s="70">
        <v>6</v>
      </c>
      <c r="B22" s="86" t="s">
        <v>51</v>
      </c>
      <c r="C22" s="71" t="s">
        <v>59</v>
      </c>
      <c r="D22" s="72">
        <v>15.5</v>
      </c>
      <c r="E22" s="72">
        <v>14.4</v>
      </c>
      <c r="F22" s="72">
        <v>408</v>
      </c>
      <c r="G22" s="75">
        <v>107.4</v>
      </c>
      <c r="H22" s="79">
        <v>10.9</v>
      </c>
      <c r="I22" s="79">
        <v>8.6199999999999992</v>
      </c>
      <c r="J22" s="79">
        <v>104.4</v>
      </c>
      <c r="K22" s="80">
        <v>0.14000000000000001</v>
      </c>
      <c r="L22" s="80">
        <v>264</v>
      </c>
      <c r="M22" s="160">
        <v>0.54</v>
      </c>
      <c r="N22" s="158" t="s">
        <v>74</v>
      </c>
      <c r="O22" s="160">
        <v>3.72</v>
      </c>
      <c r="P22" s="160">
        <v>17.37</v>
      </c>
      <c r="Q22" s="160">
        <v>22.92</v>
      </c>
      <c r="R22" s="64">
        <v>90</v>
      </c>
      <c r="S22" s="61">
        <v>30</v>
      </c>
      <c r="U22" s="104">
        <v>1850</v>
      </c>
      <c r="V22" s="77"/>
    </row>
    <row r="23" spans="1:22" s="78" customFormat="1" ht="18.75" x14ac:dyDescent="0.3">
      <c r="A23" s="70">
        <v>7</v>
      </c>
      <c r="B23" s="86" t="s">
        <v>52</v>
      </c>
      <c r="C23" s="71" t="s">
        <v>60</v>
      </c>
      <c r="D23" s="72">
        <v>15.2</v>
      </c>
      <c r="E23" s="72">
        <v>14.4</v>
      </c>
      <c r="F23" s="72">
        <v>412</v>
      </c>
      <c r="G23" s="75">
        <v>107.8</v>
      </c>
      <c r="H23" s="79">
        <v>10.9</v>
      </c>
      <c r="I23" s="79">
        <v>8.6300000000000008</v>
      </c>
      <c r="J23" s="79">
        <v>116.6</v>
      </c>
      <c r="K23" s="80">
        <v>0.14000000000000001</v>
      </c>
      <c r="L23" s="80">
        <v>267</v>
      </c>
      <c r="M23" s="160">
        <v>0.55000000000000004</v>
      </c>
      <c r="N23" s="158" t="s">
        <v>74</v>
      </c>
      <c r="O23" s="160">
        <v>3.28</v>
      </c>
      <c r="P23" s="160">
        <v>14.82</v>
      </c>
      <c r="Q23" s="160">
        <v>22.95</v>
      </c>
      <c r="R23" s="64">
        <v>110</v>
      </c>
      <c r="S23" s="61">
        <v>30</v>
      </c>
      <c r="U23" s="104">
        <v>2300</v>
      </c>
      <c r="V23" s="77"/>
    </row>
    <row r="24" spans="1:22" s="78" customFormat="1" ht="19.5" thickBot="1" x14ac:dyDescent="0.35">
      <c r="A24" s="182">
        <v>8</v>
      </c>
      <c r="B24" s="87" t="s">
        <v>53</v>
      </c>
      <c r="C24" s="82" t="s">
        <v>61</v>
      </c>
      <c r="D24" s="83">
        <v>15.5</v>
      </c>
      <c r="E24" s="83">
        <v>14.4</v>
      </c>
      <c r="F24" s="83">
        <v>430</v>
      </c>
      <c r="G24" s="101">
        <v>107.7</v>
      </c>
      <c r="H24" s="82">
        <v>10.9</v>
      </c>
      <c r="I24" s="82">
        <v>8.77</v>
      </c>
      <c r="J24" s="82">
        <v>94</v>
      </c>
      <c r="K24" s="84">
        <v>0.15</v>
      </c>
      <c r="L24" s="84">
        <v>279</v>
      </c>
      <c r="M24" s="161">
        <v>0.56999999999999995</v>
      </c>
      <c r="N24" s="168" t="s">
        <v>74</v>
      </c>
      <c r="O24" s="161">
        <v>4.25</v>
      </c>
      <c r="P24" s="161">
        <v>15.2</v>
      </c>
      <c r="Q24" s="161">
        <v>25.62</v>
      </c>
      <c r="R24" s="66">
        <v>400</v>
      </c>
      <c r="S24" s="67">
        <v>60</v>
      </c>
      <c r="U24" s="105" t="s">
        <v>82</v>
      </c>
      <c r="V24" s="77"/>
    </row>
    <row r="25" spans="1:22" ht="19.5" thickTop="1" x14ac:dyDescent="0.3">
      <c r="A25" s="52"/>
      <c r="B25" s="53"/>
      <c r="C25" s="21"/>
      <c r="D25" s="22"/>
      <c r="E25" s="22"/>
      <c r="F25" s="23"/>
      <c r="G25" s="23"/>
      <c r="H25" s="22"/>
      <c r="I25" s="22"/>
      <c r="J25" s="23"/>
      <c r="K25" s="24"/>
      <c r="L25" s="22"/>
      <c r="M25" s="54"/>
      <c r="N25" s="24"/>
      <c r="O25" s="54"/>
      <c r="P25" s="178"/>
      <c r="Q25" s="178"/>
      <c r="R25" s="24"/>
      <c r="S25" s="24"/>
      <c r="T25" s="78"/>
      <c r="U25" s="19"/>
    </row>
    <row r="26" spans="1:22" ht="18.75" x14ac:dyDescent="0.3">
      <c r="A26" s="19"/>
      <c r="B26" s="20"/>
      <c r="C26" s="21"/>
      <c r="D26" s="22"/>
      <c r="E26" s="22"/>
      <c r="F26" s="23"/>
      <c r="G26" s="23"/>
      <c r="H26" s="22"/>
      <c r="I26" s="22"/>
      <c r="J26" s="23"/>
      <c r="K26" s="24"/>
      <c r="L26" s="22"/>
      <c r="M26" s="22"/>
      <c r="N26" s="22"/>
      <c r="O26" s="116" t="s">
        <v>104</v>
      </c>
      <c r="P26" s="117" t="s">
        <v>105</v>
      </c>
      <c r="Q26" s="117" t="s">
        <v>109</v>
      </c>
      <c r="R26" s="22"/>
      <c r="S26" s="22"/>
      <c r="T26" s="78"/>
      <c r="U26" s="14"/>
    </row>
    <row r="27" spans="1:22" x14ac:dyDescent="0.25">
      <c r="A27" s="28" t="s">
        <v>32</v>
      </c>
      <c r="B27" s="20"/>
      <c r="C27" s="21"/>
      <c r="D27" s="22"/>
      <c r="E27" s="22"/>
      <c r="F27" s="23"/>
      <c r="G27" s="23"/>
      <c r="H27" s="23"/>
      <c r="I27" s="23"/>
      <c r="J27" s="23"/>
      <c r="K27" s="24"/>
      <c r="L27" s="23"/>
      <c r="M27" s="24"/>
      <c r="N27" s="24"/>
      <c r="O27" s="54" t="s">
        <v>99</v>
      </c>
      <c r="P27" s="54" t="s">
        <v>99</v>
      </c>
      <c r="Q27" s="54" t="s">
        <v>99</v>
      </c>
      <c r="R27" s="24"/>
      <c r="S27" s="24"/>
      <c r="U27" s="18" t="s">
        <v>83</v>
      </c>
    </row>
    <row r="28" spans="1:22" x14ac:dyDescent="0.25">
      <c r="E28" s="12"/>
      <c r="F28" s="12"/>
      <c r="G28" s="12"/>
      <c r="H28" s="13"/>
      <c r="I28" s="12"/>
      <c r="J28" s="12"/>
      <c r="K28" s="13"/>
      <c r="L28" s="12"/>
    </row>
    <row r="29" spans="1:22" x14ac:dyDescent="0.25">
      <c r="B29" t="s">
        <v>29</v>
      </c>
      <c r="O29" t="s">
        <v>100</v>
      </c>
      <c r="P29" t="s">
        <v>106</v>
      </c>
      <c r="Q29" t="s">
        <v>112</v>
      </c>
    </row>
    <row r="30" spans="1:22" x14ac:dyDescent="0.25">
      <c r="A30" t="s">
        <v>24</v>
      </c>
      <c r="O30" t="s">
        <v>101</v>
      </c>
      <c r="P30" t="s">
        <v>107</v>
      </c>
      <c r="Q30"/>
    </row>
    <row r="31" spans="1:22" x14ac:dyDescent="0.25">
      <c r="A31" t="s">
        <v>6</v>
      </c>
      <c r="B31" t="s">
        <v>19</v>
      </c>
      <c r="O31" s="88" t="s">
        <v>103</v>
      </c>
      <c r="P31" t="s">
        <v>108</v>
      </c>
      <c r="Q31"/>
    </row>
    <row r="32" spans="1:22" x14ac:dyDescent="0.25">
      <c r="A32" t="s">
        <v>20</v>
      </c>
      <c r="B32" t="s">
        <v>21</v>
      </c>
      <c r="O32" t="s">
        <v>102</v>
      </c>
      <c r="P32"/>
      <c r="Q32"/>
    </row>
    <row r="33" spans="1:19" x14ac:dyDescent="0.25">
      <c r="A33" t="s">
        <v>9</v>
      </c>
      <c r="B33" t="s">
        <v>22</v>
      </c>
      <c r="C33" t="s">
        <v>27</v>
      </c>
      <c r="O33"/>
      <c r="P33" t="s">
        <v>110</v>
      </c>
      <c r="Q33"/>
      <c r="R33" s="55"/>
      <c r="S33" s="55"/>
    </row>
    <row r="34" spans="1:19" x14ac:dyDescent="0.25">
      <c r="C34" t="s">
        <v>28</v>
      </c>
      <c r="O34"/>
      <c r="P34" t="s">
        <v>111</v>
      </c>
      <c r="Q34"/>
      <c r="R34" s="55"/>
      <c r="S34" s="55"/>
    </row>
    <row r="35" spans="1:19" x14ac:dyDescent="0.25">
      <c r="A35" t="s">
        <v>23</v>
      </c>
      <c r="B35" t="s">
        <v>25</v>
      </c>
      <c r="O35"/>
      <c r="P35"/>
      <c r="Q35"/>
      <c r="R35" s="55"/>
      <c r="S35" s="55"/>
    </row>
    <row r="36" spans="1:19" x14ac:dyDescent="0.25">
      <c r="A36" t="s">
        <v>11</v>
      </c>
      <c r="B36" t="s">
        <v>26</v>
      </c>
      <c r="O36"/>
      <c r="P36" t="s">
        <v>113</v>
      </c>
      <c r="Q36"/>
      <c r="R36" s="19"/>
      <c r="S36" s="19"/>
    </row>
    <row r="37" spans="1:19" x14ac:dyDescent="0.25">
      <c r="O37"/>
      <c r="P37" t="s">
        <v>114</v>
      </c>
      <c r="Q37"/>
    </row>
    <row r="38" spans="1:19" x14ac:dyDescent="0.25">
      <c r="O38"/>
      <c r="P38" t="s">
        <v>115</v>
      </c>
      <c r="Q38"/>
    </row>
    <row r="39" spans="1:19" x14ac:dyDescent="0.25">
      <c r="J39" s="45"/>
      <c r="O39"/>
      <c r="P39" t="s">
        <v>116</v>
      </c>
      <c r="Q39"/>
    </row>
    <row r="40" spans="1:19" x14ac:dyDescent="0.25">
      <c r="O40"/>
      <c r="P40" t="s">
        <v>117</v>
      </c>
      <c r="Q40"/>
    </row>
  </sheetData>
  <mergeCells count="7">
    <mergeCell ref="D2:M2"/>
    <mergeCell ref="D9:S9"/>
    <mergeCell ref="D10:L10"/>
    <mergeCell ref="D13:L13"/>
    <mergeCell ref="R13:S13"/>
    <mergeCell ref="M10:S10"/>
    <mergeCell ref="M11:S1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activeCell="C9" sqref="C9"/>
    </sheetView>
  </sheetViews>
  <sheetFormatPr defaultRowHeight="15" x14ac:dyDescent="0.25"/>
  <cols>
    <col min="1" max="1" width="20" customWidth="1"/>
    <col min="2" max="2" width="45.85546875" customWidth="1"/>
    <col min="3" max="3" width="12.140625" customWidth="1"/>
    <col min="4" max="4" width="33.28515625" customWidth="1"/>
    <col min="5" max="5" width="34.42578125" bestFit="1" customWidth="1"/>
  </cols>
  <sheetData>
    <row r="1" spans="1:19" x14ac:dyDescent="0.25">
      <c r="O1" s="50"/>
      <c r="P1" s="50"/>
      <c r="Q1" s="50"/>
      <c r="R1" s="50"/>
      <c r="S1" s="50"/>
    </row>
    <row r="2" spans="1:19" x14ac:dyDescent="0.25">
      <c r="B2" s="14"/>
      <c r="D2" s="31" t="s">
        <v>43</v>
      </c>
      <c r="E2" s="32"/>
      <c r="F2" s="33"/>
      <c r="G2" s="34"/>
      <c r="H2" s="35"/>
      <c r="I2" s="32"/>
      <c r="J2" s="36"/>
      <c r="K2" s="32"/>
      <c r="L2" s="36"/>
      <c r="O2" s="50"/>
      <c r="P2" s="50"/>
      <c r="Q2" s="50"/>
      <c r="R2" s="50"/>
      <c r="S2" s="50"/>
    </row>
    <row r="3" spans="1:19" ht="15.75" thickBot="1" x14ac:dyDescent="0.3">
      <c r="D3" s="37" t="s">
        <v>38</v>
      </c>
      <c r="E3" s="38"/>
      <c r="F3" s="36"/>
      <c r="G3" s="39"/>
      <c r="H3" s="38"/>
      <c r="I3" s="38"/>
      <c r="J3" s="38"/>
      <c r="K3" s="38"/>
      <c r="L3" s="38"/>
      <c r="O3" s="50"/>
      <c r="P3" s="50"/>
      <c r="Q3" s="50"/>
      <c r="R3" s="50"/>
      <c r="S3" s="50"/>
    </row>
    <row r="4" spans="1:19" ht="19.5" thickBot="1" x14ac:dyDescent="0.35">
      <c r="B4" s="29" t="s">
        <v>42</v>
      </c>
      <c r="O4" s="50"/>
      <c r="P4" s="50"/>
      <c r="Q4" s="50"/>
      <c r="R4" s="50"/>
      <c r="S4" s="50"/>
    </row>
    <row r="5" spans="1:19" x14ac:dyDescent="0.25">
      <c r="D5" s="40" t="s">
        <v>39</v>
      </c>
      <c r="E5" s="41"/>
      <c r="F5" s="41"/>
      <c r="G5" s="42"/>
      <c r="H5" s="41"/>
      <c r="I5" s="51"/>
      <c r="O5" s="50"/>
      <c r="P5" s="50"/>
      <c r="Q5" s="50"/>
      <c r="R5" s="50"/>
      <c r="S5" s="50"/>
    </row>
    <row r="6" spans="1:19" ht="18.75" x14ac:dyDescent="0.3">
      <c r="A6" s="99" t="s">
        <v>78</v>
      </c>
      <c r="B6" s="98"/>
      <c r="D6" s="44"/>
      <c r="E6" s="45"/>
      <c r="F6" s="45"/>
      <c r="G6" s="46"/>
      <c r="H6" s="45"/>
      <c r="I6" s="45"/>
      <c r="O6" s="50"/>
      <c r="P6" s="50"/>
      <c r="Q6" s="50"/>
      <c r="R6" s="50"/>
      <c r="S6" s="50"/>
    </row>
    <row r="7" spans="1:19" ht="18" x14ac:dyDescent="0.25">
      <c r="A7" s="43" t="s">
        <v>45</v>
      </c>
      <c r="G7" s="1"/>
      <c r="I7" s="2"/>
      <c r="O7" s="50"/>
      <c r="P7" s="50"/>
      <c r="Q7" s="50"/>
      <c r="R7" s="50"/>
      <c r="S7" s="50"/>
    </row>
    <row r="8" spans="1:19" ht="18" x14ac:dyDescent="0.25">
      <c r="A8" s="43"/>
      <c r="G8" s="1"/>
      <c r="I8" s="2"/>
      <c r="O8" s="50"/>
      <c r="P8" s="50"/>
      <c r="Q8" s="50"/>
      <c r="R8" s="50"/>
      <c r="S8" s="50"/>
    </row>
    <row r="9" spans="1:19" ht="26.25" x14ac:dyDescent="0.4">
      <c r="A9" s="110" t="s">
        <v>93</v>
      </c>
      <c r="G9" s="1"/>
      <c r="I9" s="2"/>
      <c r="O9" s="50"/>
      <c r="P9" s="50"/>
      <c r="Q9" s="50"/>
      <c r="R9" s="50"/>
      <c r="S9" s="50"/>
    </row>
    <row r="10" spans="1:19" ht="18" x14ac:dyDescent="0.25">
      <c r="A10" s="43"/>
      <c r="G10" s="1"/>
      <c r="I10" s="2"/>
      <c r="O10" s="50"/>
      <c r="P10" s="50"/>
      <c r="Q10" s="50"/>
      <c r="R10" s="50"/>
      <c r="S10" s="50"/>
    </row>
    <row r="11" spans="1:19" ht="18" x14ac:dyDescent="0.25">
      <c r="A11" s="43"/>
      <c r="D11" s="14" t="s">
        <v>88</v>
      </c>
      <c r="G11" s="1"/>
      <c r="I11" s="2"/>
      <c r="O11" s="50"/>
      <c r="P11" s="50"/>
      <c r="Q11" s="50"/>
      <c r="R11" s="50"/>
      <c r="S11" s="50"/>
    </row>
    <row r="12" spans="1:19" ht="18" x14ac:dyDescent="0.25">
      <c r="A12" s="43"/>
      <c r="G12" s="1"/>
      <c r="I12" s="2"/>
      <c r="O12" s="50"/>
      <c r="P12" s="50"/>
      <c r="Q12" s="50"/>
      <c r="R12" s="50"/>
      <c r="S12" s="50"/>
    </row>
    <row r="13" spans="1:19" ht="18" x14ac:dyDescent="0.25">
      <c r="A13" s="43"/>
      <c r="D13" s="169" t="s">
        <v>86</v>
      </c>
      <c r="E13" s="169" t="s">
        <v>86</v>
      </c>
      <c r="G13" s="1"/>
      <c r="I13" s="2"/>
      <c r="O13" s="50"/>
      <c r="P13" s="50"/>
      <c r="Q13" s="50"/>
      <c r="R13" s="50"/>
      <c r="S13" s="50"/>
    </row>
    <row r="14" spans="1:19" x14ac:dyDescent="0.25">
      <c r="D14" s="17" t="s">
        <v>73</v>
      </c>
      <c r="E14" s="17" t="s">
        <v>79</v>
      </c>
    </row>
    <row r="15" spans="1:19" ht="15.75" thickBot="1" x14ac:dyDescent="0.3"/>
    <row r="16" spans="1:19" ht="16.5" thickTop="1" x14ac:dyDescent="0.25">
      <c r="A16" s="6" t="s">
        <v>37</v>
      </c>
      <c r="B16" s="26" t="s">
        <v>1</v>
      </c>
      <c r="C16" s="7" t="s">
        <v>2</v>
      </c>
      <c r="D16" s="8" t="s">
        <v>87</v>
      </c>
      <c r="E16" s="8" t="s">
        <v>87</v>
      </c>
    </row>
    <row r="17" spans="1:9" ht="15.75" thickBot="1" x14ac:dyDescent="0.3">
      <c r="A17" s="9"/>
      <c r="B17" s="27"/>
      <c r="C17" s="10"/>
      <c r="D17" s="59" t="s">
        <v>130</v>
      </c>
      <c r="E17" s="59" t="s">
        <v>130</v>
      </c>
    </row>
    <row r="18" spans="1:9" ht="19.5" thickTop="1" x14ac:dyDescent="0.3">
      <c r="A18" s="70">
        <v>1</v>
      </c>
      <c r="B18" s="85" t="s">
        <v>47</v>
      </c>
      <c r="C18" s="71" t="s">
        <v>81</v>
      </c>
      <c r="D18" s="158">
        <f>0.4/3</f>
        <v>0.13333333333333333</v>
      </c>
      <c r="E18" s="159">
        <f>0.4/3</f>
        <v>0.13333333333333333</v>
      </c>
    </row>
    <row r="19" spans="1:9" ht="18.75" x14ac:dyDescent="0.3">
      <c r="A19" s="70">
        <v>2</v>
      </c>
      <c r="B19" s="86" t="s">
        <v>139</v>
      </c>
      <c r="C19" s="71" t="s">
        <v>55</v>
      </c>
      <c r="D19" s="158">
        <f>0.43/3</f>
        <v>0.14333333333333334</v>
      </c>
      <c r="E19" s="160">
        <f>0.46/3</f>
        <v>0.15333333333333335</v>
      </c>
    </row>
    <row r="20" spans="1:9" ht="18.75" x14ac:dyDescent="0.3">
      <c r="A20" s="70">
        <v>3</v>
      </c>
      <c r="B20" s="86" t="s">
        <v>48</v>
      </c>
      <c r="C20" s="71" t="s">
        <v>56</v>
      </c>
      <c r="D20" s="158">
        <f>0.4/3</f>
        <v>0.13333333333333333</v>
      </c>
      <c r="E20" s="160">
        <f>0.49/3</f>
        <v>0.16333333333333333</v>
      </c>
    </row>
    <row r="21" spans="1:9" ht="18.75" x14ac:dyDescent="0.3">
      <c r="A21" s="70">
        <v>4</v>
      </c>
      <c r="B21" s="86" t="s">
        <v>49</v>
      </c>
      <c r="C21" s="71" t="s">
        <v>57</v>
      </c>
      <c r="D21" s="158">
        <f>0.42/3</f>
        <v>0.13999999999999999</v>
      </c>
      <c r="E21" s="160">
        <f>0.5/3</f>
        <v>0.16666666666666666</v>
      </c>
    </row>
    <row r="22" spans="1:9" ht="18.75" x14ac:dyDescent="0.3">
      <c r="A22" s="70">
        <v>5</v>
      </c>
      <c r="B22" s="86" t="s">
        <v>50</v>
      </c>
      <c r="C22" s="71" t="s">
        <v>58</v>
      </c>
      <c r="D22" s="158">
        <f>0.37/3</f>
        <v>0.12333333333333334</v>
      </c>
      <c r="E22" s="160">
        <f>0.52/3</f>
        <v>0.17333333333333334</v>
      </c>
    </row>
    <row r="23" spans="1:9" ht="18.75" x14ac:dyDescent="0.3">
      <c r="A23" s="70">
        <v>6</v>
      </c>
      <c r="B23" s="86" t="s">
        <v>51</v>
      </c>
      <c r="C23" s="71" t="s">
        <v>59</v>
      </c>
      <c r="D23" s="158">
        <f>0.34/3</f>
        <v>0.11333333333333334</v>
      </c>
      <c r="E23" s="160">
        <f>0.54/3</f>
        <v>0.18000000000000002</v>
      </c>
      <c r="I23">
        <f>(16-13)/13</f>
        <v>0.23076923076923078</v>
      </c>
    </row>
    <row r="24" spans="1:9" ht="18.75" x14ac:dyDescent="0.3">
      <c r="A24" s="70">
        <v>7</v>
      </c>
      <c r="B24" s="86" t="s">
        <v>52</v>
      </c>
      <c r="C24" s="71" t="s">
        <v>60</v>
      </c>
      <c r="D24" s="158">
        <f>0.46/3</f>
        <v>0.15333333333333335</v>
      </c>
      <c r="E24" s="160">
        <f>0.55/3</f>
        <v>0.18333333333333335</v>
      </c>
    </row>
    <row r="25" spans="1:9" ht="19.5" thickBot="1" x14ac:dyDescent="0.35">
      <c r="A25" s="81">
        <v>8</v>
      </c>
      <c r="B25" s="87" t="s">
        <v>53</v>
      </c>
      <c r="C25" s="82" t="s">
        <v>61</v>
      </c>
      <c r="D25" s="123">
        <f>0.47/3</f>
        <v>0.15666666666666665</v>
      </c>
      <c r="E25" s="161">
        <f>0.57/3</f>
        <v>0.18999999999999997</v>
      </c>
      <c r="I25">
        <f>(19-13)/13</f>
        <v>0.46153846153846156</v>
      </c>
    </row>
    <row r="26" spans="1:9" ht="15.75" thickTop="1" x14ac:dyDescent="0.25"/>
    <row r="28" spans="1:9" ht="18.75" x14ac:dyDescent="0.3">
      <c r="C28" s="15" t="s">
        <v>89</v>
      </c>
      <c r="D28" s="109">
        <f>GEOMEAN(D18:D27)</f>
        <v>0.13639564462993461</v>
      </c>
      <c r="E28" s="109">
        <f>GEOMEAN(E18:E27)</f>
        <v>0.16699599846967558</v>
      </c>
      <c r="G28" s="15" t="s">
        <v>129</v>
      </c>
    </row>
    <row r="29" spans="1:9" ht="18.75" x14ac:dyDescent="0.3">
      <c r="D29" s="109"/>
      <c r="E29" s="109"/>
    </row>
    <row r="30" spans="1:9" ht="18.75" x14ac:dyDescent="0.3">
      <c r="B30" s="106" t="s">
        <v>97</v>
      </c>
      <c r="D30" s="162">
        <f>D25-D18</f>
        <v>2.3333333333333317E-2</v>
      </c>
      <c r="E30" s="162">
        <f>E25-E18</f>
        <v>5.6666666666666643E-2</v>
      </c>
    </row>
    <row r="31" spans="1:9" ht="18.75" x14ac:dyDescent="0.3">
      <c r="B31" s="106" t="s">
        <v>133</v>
      </c>
      <c r="D31" s="206">
        <f xml:space="preserve"> (0.167-0.136)</f>
        <v>3.1E-2</v>
      </c>
      <c r="E31" s="207"/>
    </row>
    <row r="57" spans="2:2" ht="18" x14ac:dyDescent="0.25">
      <c r="B57" s="107" t="s">
        <v>90</v>
      </c>
    </row>
    <row r="75" spans="2:2" ht="18.75" x14ac:dyDescent="0.3">
      <c r="B75" s="15" t="s">
        <v>91</v>
      </c>
    </row>
    <row r="76" spans="2:2" ht="18.75" x14ac:dyDescent="0.3">
      <c r="B76" s="108" t="s">
        <v>92</v>
      </c>
    </row>
  </sheetData>
  <mergeCells count="1">
    <mergeCell ref="D31:E3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opLeftCell="H1" workbookViewId="0">
      <selection activeCell="D89" sqref="D89"/>
    </sheetView>
  </sheetViews>
  <sheetFormatPr defaultRowHeight="15" x14ac:dyDescent="0.25"/>
  <cols>
    <col min="1" max="1" width="20" customWidth="1"/>
    <col min="2" max="2" width="45.85546875" customWidth="1"/>
    <col min="3" max="3" width="15.28515625" customWidth="1"/>
    <col min="4" max="4" width="33.28515625" customWidth="1"/>
    <col min="5" max="5" width="34.42578125" bestFit="1" customWidth="1"/>
    <col min="7" max="7" width="12" customWidth="1"/>
    <col min="8" max="8" width="34.28515625" bestFit="1" customWidth="1"/>
    <col min="9" max="9" width="39.42578125" customWidth="1"/>
    <col min="10" max="10" width="41.7109375" bestFit="1" customWidth="1"/>
  </cols>
  <sheetData>
    <row r="1" spans="1:19" x14ac:dyDescent="0.25">
      <c r="O1" s="50"/>
      <c r="P1" s="50"/>
      <c r="Q1" s="50"/>
      <c r="R1" s="50"/>
      <c r="S1" s="50"/>
    </row>
    <row r="2" spans="1:19" x14ac:dyDescent="0.25">
      <c r="B2" s="14"/>
      <c r="D2" s="31" t="s">
        <v>43</v>
      </c>
      <c r="E2" s="32"/>
      <c r="F2" s="33"/>
      <c r="G2" s="34"/>
      <c r="H2" s="35"/>
      <c r="I2" s="32"/>
      <c r="J2" s="36"/>
      <c r="K2" s="32"/>
      <c r="L2" s="36"/>
      <c r="O2" s="50"/>
      <c r="P2" s="50"/>
      <c r="Q2" s="50"/>
      <c r="R2" s="50"/>
      <c r="S2" s="50"/>
    </row>
    <row r="3" spans="1:19" ht="15.75" thickBot="1" x14ac:dyDescent="0.3">
      <c r="D3" s="37" t="s">
        <v>38</v>
      </c>
      <c r="E3" s="38"/>
      <c r="F3" s="36"/>
      <c r="G3" s="39"/>
      <c r="H3" s="38"/>
      <c r="I3" s="38"/>
      <c r="J3" s="38"/>
      <c r="K3" s="38"/>
      <c r="L3" s="38"/>
      <c r="O3" s="50"/>
      <c r="P3" s="50"/>
      <c r="Q3" s="50"/>
      <c r="R3" s="50"/>
      <c r="S3" s="50"/>
    </row>
    <row r="4" spans="1:19" ht="19.5" thickBot="1" x14ac:dyDescent="0.35">
      <c r="B4" s="29" t="s">
        <v>42</v>
      </c>
      <c r="O4" s="50"/>
      <c r="P4" s="50"/>
      <c r="Q4" s="50"/>
      <c r="R4" s="50"/>
      <c r="S4" s="50"/>
    </row>
    <row r="5" spans="1:19" x14ac:dyDescent="0.25">
      <c r="D5" s="40" t="s">
        <v>39</v>
      </c>
      <c r="E5" s="41"/>
      <c r="F5" s="41"/>
      <c r="G5" s="42"/>
      <c r="H5" s="41"/>
      <c r="I5" s="51"/>
      <c r="O5" s="50"/>
      <c r="P5" s="50"/>
      <c r="Q5" s="50"/>
      <c r="R5" s="50"/>
      <c r="S5" s="50"/>
    </row>
    <row r="6" spans="1:19" ht="18.75" x14ac:dyDescent="0.3">
      <c r="A6" s="99" t="s">
        <v>78</v>
      </c>
      <c r="B6" s="98"/>
      <c r="D6" s="44"/>
      <c r="E6" s="45"/>
      <c r="F6" s="45"/>
      <c r="G6" s="46"/>
      <c r="H6" s="45"/>
      <c r="I6" s="45"/>
      <c r="O6" s="50"/>
      <c r="P6" s="50"/>
      <c r="Q6" s="50"/>
      <c r="R6" s="50"/>
      <c r="S6" s="50"/>
    </row>
    <row r="7" spans="1:19" ht="18" x14ac:dyDescent="0.25">
      <c r="A7" s="43" t="s">
        <v>45</v>
      </c>
      <c r="G7" s="1"/>
      <c r="I7" s="2"/>
      <c r="O7" s="50"/>
      <c r="P7" s="50"/>
      <c r="Q7" s="50"/>
      <c r="R7" s="50"/>
      <c r="S7" s="50"/>
    </row>
    <row r="8" spans="1:19" ht="18" x14ac:dyDescent="0.25">
      <c r="A8" s="43"/>
      <c r="G8" s="1"/>
      <c r="I8" s="2"/>
      <c r="O8" s="50"/>
      <c r="P8" s="50"/>
      <c r="Q8" s="50"/>
      <c r="R8" s="50"/>
      <c r="S8" s="50"/>
    </row>
    <row r="9" spans="1:19" ht="18.75" x14ac:dyDescent="0.3">
      <c r="A9" s="43"/>
      <c r="G9" s="1"/>
      <c r="H9" s="78" t="s">
        <v>95</v>
      </c>
      <c r="I9" s="111">
        <f>1/4.43</f>
        <v>0.22573363431151244</v>
      </c>
      <c r="O9" s="50"/>
      <c r="P9" s="50"/>
      <c r="Q9" s="50"/>
      <c r="R9" s="50"/>
      <c r="S9" s="50"/>
    </row>
    <row r="10" spans="1:19" ht="18" x14ac:dyDescent="0.25">
      <c r="A10" s="43"/>
      <c r="G10" s="1"/>
      <c r="I10" s="2"/>
      <c r="O10" s="50"/>
      <c r="P10" s="50"/>
      <c r="Q10" s="50"/>
      <c r="R10" s="50"/>
      <c r="S10" s="50"/>
    </row>
    <row r="11" spans="1:19" ht="18" x14ac:dyDescent="0.25">
      <c r="A11" s="43"/>
      <c r="D11" s="14"/>
      <c r="G11" s="1"/>
      <c r="I11" s="2"/>
      <c r="O11" s="50"/>
      <c r="P11" s="50"/>
      <c r="Q11" s="50"/>
      <c r="R11" s="50"/>
      <c r="S11" s="50"/>
    </row>
    <row r="12" spans="1:19" ht="18" x14ac:dyDescent="0.25">
      <c r="A12" s="43"/>
      <c r="G12" s="1"/>
      <c r="I12" s="2"/>
      <c r="O12" s="50"/>
      <c r="P12" s="50"/>
      <c r="Q12" s="50"/>
      <c r="R12" s="50"/>
      <c r="S12" s="50"/>
    </row>
    <row r="13" spans="1:19" s="78" customFormat="1" ht="18.75" x14ac:dyDescent="0.3">
      <c r="A13" s="115"/>
      <c r="D13" s="163" t="s">
        <v>86</v>
      </c>
      <c r="E13" s="163" t="s">
        <v>86</v>
      </c>
      <c r="G13" s="2"/>
      <c r="H13" s="163" t="s">
        <v>65</v>
      </c>
      <c r="I13" s="163" t="s">
        <v>65</v>
      </c>
      <c r="O13" s="62"/>
      <c r="P13" s="62"/>
      <c r="Q13" s="62"/>
      <c r="R13" s="62"/>
      <c r="S13" s="62"/>
    </row>
    <row r="14" spans="1:19" s="78" customFormat="1" ht="18.75" x14ac:dyDescent="0.3">
      <c r="D14" s="164" t="s">
        <v>73</v>
      </c>
      <c r="E14" s="164" t="s">
        <v>79</v>
      </c>
      <c r="H14" s="164" t="s">
        <v>73</v>
      </c>
      <c r="I14" s="164" t="s">
        <v>79</v>
      </c>
    </row>
    <row r="15" spans="1:19" ht="15.75" thickBot="1" x14ac:dyDescent="0.3">
      <c r="D15" s="165"/>
      <c r="E15" s="165"/>
      <c r="H15" s="165"/>
      <c r="I15" s="165"/>
    </row>
    <row r="16" spans="1:19" ht="16.5" thickTop="1" x14ac:dyDescent="0.25">
      <c r="A16" s="6" t="s">
        <v>37</v>
      </c>
      <c r="B16" s="26" t="s">
        <v>1</v>
      </c>
      <c r="C16" s="7" t="s">
        <v>2</v>
      </c>
      <c r="D16" s="125" t="s">
        <v>96</v>
      </c>
      <c r="E16" s="125" t="s">
        <v>96</v>
      </c>
      <c r="H16" s="125" t="s">
        <v>96</v>
      </c>
      <c r="I16" s="125" t="s">
        <v>96</v>
      </c>
    </row>
    <row r="17" spans="1:10" ht="15.75" thickBot="1" x14ac:dyDescent="0.3">
      <c r="A17" s="9"/>
      <c r="B17" s="27"/>
      <c r="C17" s="10"/>
      <c r="D17" s="126" t="s">
        <v>94</v>
      </c>
      <c r="E17" s="126" t="s">
        <v>94</v>
      </c>
      <c r="H17" s="126" t="s">
        <v>94</v>
      </c>
      <c r="I17" s="126" t="s">
        <v>94</v>
      </c>
    </row>
    <row r="18" spans="1:10" ht="19.5" thickTop="1" x14ac:dyDescent="0.3">
      <c r="A18" s="70">
        <v>1</v>
      </c>
      <c r="B18" s="85" t="s">
        <v>47</v>
      </c>
      <c r="C18" s="71" t="s">
        <v>81</v>
      </c>
      <c r="D18" s="166">
        <f>3.1/4.43</f>
        <v>0.69977426636568851</v>
      </c>
      <c r="E18" s="160">
        <f>0.44/4.43</f>
        <v>9.932279909706547E-2</v>
      </c>
      <c r="H18" s="158">
        <f>5.37*I9</f>
        <v>1.2121896162528218</v>
      </c>
      <c r="I18" s="159">
        <f>14.55*I9</f>
        <v>3.2844243792325063</v>
      </c>
    </row>
    <row r="19" spans="1:10" ht="18.75" x14ac:dyDescent="0.3">
      <c r="A19" s="70">
        <v>2</v>
      </c>
      <c r="B19" s="86" t="s">
        <v>139</v>
      </c>
      <c r="C19" s="71" t="s">
        <v>55</v>
      </c>
      <c r="D19" s="167">
        <f>0.62/4.43</f>
        <v>0.1399548532731377</v>
      </c>
      <c r="E19" s="160">
        <f>0.53/4.43</f>
        <v>0.11963882618510159</v>
      </c>
      <c r="H19" s="158">
        <f>4.92*I9</f>
        <v>1.1106094808126412</v>
      </c>
      <c r="I19" s="160">
        <f>15.18*I9</f>
        <v>3.426636568848759</v>
      </c>
    </row>
    <row r="20" spans="1:10" ht="18.75" x14ac:dyDescent="0.3">
      <c r="A20" s="70">
        <v>3</v>
      </c>
      <c r="B20" s="86" t="s">
        <v>48</v>
      </c>
      <c r="C20" s="71" t="s">
        <v>56</v>
      </c>
      <c r="D20" s="167">
        <f>3.72/4.43</f>
        <v>0.83972911963882624</v>
      </c>
      <c r="E20" s="160">
        <f>0.89/4.43</f>
        <v>0.20090293453724606</v>
      </c>
      <c r="H20" s="158">
        <f>5.16*I9</f>
        <v>1.1647855530474043</v>
      </c>
      <c r="I20" s="160">
        <f>14.68*I9</f>
        <v>3.3137697516930027</v>
      </c>
    </row>
    <row r="21" spans="1:10" ht="18.75" x14ac:dyDescent="0.3">
      <c r="A21" s="70">
        <v>4</v>
      </c>
      <c r="B21" s="86" t="s">
        <v>49</v>
      </c>
      <c r="C21" s="71" t="s">
        <v>57</v>
      </c>
      <c r="D21" s="167">
        <f>3.45/4.43</f>
        <v>0.7787810383747179</v>
      </c>
      <c r="E21" s="160">
        <f>3.72/4.43</f>
        <v>0.83972911963882624</v>
      </c>
      <c r="H21" s="158">
        <f>5.68*I9</f>
        <v>1.2821670428893905</v>
      </c>
      <c r="I21" s="160">
        <f>15.25*I9</f>
        <v>3.4424379232505649</v>
      </c>
    </row>
    <row r="22" spans="1:10" ht="18.75" x14ac:dyDescent="0.3">
      <c r="A22" s="70">
        <v>5</v>
      </c>
      <c r="B22" s="86" t="s">
        <v>50</v>
      </c>
      <c r="C22" s="71" t="s">
        <v>58</v>
      </c>
      <c r="D22" s="167">
        <f>0.35/4.43</f>
        <v>7.900677200902935E-2</v>
      </c>
      <c r="E22" s="160">
        <f>3.98/4.43</f>
        <v>0.89841986455981948</v>
      </c>
      <c r="H22" s="158">
        <f>6.17*I9</f>
        <v>1.3927765237020318</v>
      </c>
      <c r="I22" s="160">
        <f>13.8*I9</f>
        <v>3.1151241534988721</v>
      </c>
    </row>
    <row r="23" spans="1:10" ht="18.75" x14ac:dyDescent="0.3">
      <c r="A23" s="70">
        <v>6</v>
      </c>
      <c r="B23" s="86" t="s">
        <v>51</v>
      </c>
      <c r="C23" s="71" t="s">
        <v>59</v>
      </c>
      <c r="D23" s="167">
        <f>0.44/4.43</f>
        <v>9.932279909706547E-2</v>
      </c>
      <c r="E23" s="160">
        <f>3.72/4.43</f>
        <v>0.83972911963882624</v>
      </c>
      <c r="H23" s="158">
        <f>6.06*I9</f>
        <v>1.3679458239277653</v>
      </c>
      <c r="I23" s="160">
        <f>17.37*I9</f>
        <v>3.9209932279909712</v>
      </c>
    </row>
    <row r="24" spans="1:10" ht="18.75" x14ac:dyDescent="0.3">
      <c r="A24" s="70">
        <v>7</v>
      </c>
      <c r="B24" s="86" t="s">
        <v>52</v>
      </c>
      <c r="C24" s="71" t="s">
        <v>60</v>
      </c>
      <c r="D24" s="167">
        <f>3.99/4.43</f>
        <v>0.90067720090293468</v>
      </c>
      <c r="E24" s="160">
        <f>3.28/4.43</f>
        <v>0.7404063205417607</v>
      </c>
      <c r="H24" s="158">
        <f>6.1*I9</f>
        <v>1.3769751693002259</v>
      </c>
      <c r="I24" s="160">
        <f>14.82*I9</f>
        <v>3.3453724604966144</v>
      </c>
    </row>
    <row r="25" spans="1:10" ht="19.5" thickBot="1" x14ac:dyDescent="0.35">
      <c r="A25" s="81">
        <v>8</v>
      </c>
      <c r="B25" s="87" t="s">
        <v>53</v>
      </c>
      <c r="C25" s="82" t="s">
        <v>61</v>
      </c>
      <c r="D25" s="161">
        <f>4.44/4.43</f>
        <v>1.0022573363431153</v>
      </c>
      <c r="E25" s="161">
        <f>4.25/4.43</f>
        <v>0.95936794582392781</v>
      </c>
      <c r="H25" s="168">
        <f>6.94*I9</f>
        <v>1.5665914221218964</v>
      </c>
      <c r="I25" s="161">
        <f>15.2*I9</f>
        <v>3.4311512415349892</v>
      </c>
    </row>
    <row r="26" spans="1:10" ht="15.75" thickTop="1" x14ac:dyDescent="0.25">
      <c r="D26" s="165"/>
      <c r="E26" s="165"/>
      <c r="H26" s="165"/>
      <c r="I26" s="165"/>
    </row>
    <row r="27" spans="1:10" x14ac:dyDescent="0.25">
      <c r="D27" s="165"/>
      <c r="E27" s="165"/>
      <c r="H27" s="165"/>
      <c r="I27" s="165"/>
    </row>
    <row r="28" spans="1:10" ht="19.5" thickBot="1" x14ac:dyDescent="0.35">
      <c r="C28" s="15" t="s">
        <v>89</v>
      </c>
      <c r="D28" s="109">
        <f>GEOMEAN(D18:D27)</f>
        <v>0.3820280699711564</v>
      </c>
      <c r="E28" s="109">
        <f>GEOMEAN(E18:E27)</f>
        <v>0.4254906867435852</v>
      </c>
      <c r="H28" s="168">
        <f>GEOMEAN(H18:H27)</f>
        <v>1.3020999994256603</v>
      </c>
      <c r="I28" s="168">
        <f>GEOMEAN(I18:I27)</f>
        <v>3.4033682565780263</v>
      </c>
      <c r="J28" s="15" t="s">
        <v>89</v>
      </c>
    </row>
    <row r="29" spans="1:10" ht="19.5" thickTop="1" x14ac:dyDescent="0.3">
      <c r="D29" s="109"/>
      <c r="E29" s="109"/>
      <c r="H29" s="165"/>
      <c r="I29" s="165"/>
    </row>
    <row r="30" spans="1:10" ht="19.5" thickBot="1" x14ac:dyDescent="0.35">
      <c r="B30" s="106" t="s">
        <v>97</v>
      </c>
      <c r="D30" s="162">
        <f>D25-D18</f>
        <v>0.3024830699774268</v>
      </c>
      <c r="E30" s="162">
        <f>E25-E18</f>
        <v>0.86004514672686239</v>
      </c>
      <c r="H30" s="168">
        <f>H25-H18</f>
        <v>0.35440180586907455</v>
      </c>
      <c r="I30" s="168">
        <f>I25-I18</f>
        <v>0.14672686230248289</v>
      </c>
      <c r="J30" s="112" t="s">
        <v>97</v>
      </c>
    </row>
    <row r="31" spans="1:10" ht="20.25" thickTop="1" thickBot="1" x14ac:dyDescent="0.35">
      <c r="B31" s="106" t="s">
        <v>133</v>
      </c>
      <c r="D31" s="208">
        <f>(E28)-(D28)</f>
        <v>4.3462616772428797E-2</v>
      </c>
      <c r="E31" s="209"/>
      <c r="H31" s="210">
        <f>(I28-H28)</f>
        <v>2.1012682571523662</v>
      </c>
      <c r="I31" s="211"/>
      <c r="J31" s="112" t="s">
        <v>132</v>
      </c>
    </row>
    <row r="32" spans="1:10" ht="15.75" thickTop="1" x14ac:dyDescent="0.25"/>
    <row r="61" spans="2:5" ht="18" x14ac:dyDescent="0.25">
      <c r="B61" s="107" t="s">
        <v>90</v>
      </c>
      <c r="E61" s="107" t="s">
        <v>90</v>
      </c>
    </row>
    <row r="64" spans="2:5" ht="18" x14ac:dyDescent="0.25">
      <c r="B64" s="107" t="s">
        <v>90</v>
      </c>
    </row>
    <row r="71" spans="9:9" ht="18.75" x14ac:dyDescent="0.3">
      <c r="I71" s="62" t="s">
        <v>65</v>
      </c>
    </row>
    <row r="73" spans="9:9" x14ac:dyDescent="0.25">
      <c r="I73" s="14" t="s">
        <v>122</v>
      </c>
    </row>
    <row r="74" spans="9:9" x14ac:dyDescent="0.25">
      <c r="I74" s="14" t="s">
        <v>123</v>
      </c>
    </row>
    <row r="76" spans="9:9" x14ac:dyDescent="0.25">
      <c r="I76" s="113"/>
    </row>
    <row r="81" spans="2:9" ht="18.75" x14ac:dyDescent="0.3">
      <c r="B81" s="114" t="s">
        <v>98</v>
      </c>
      <c r="I81" s="114" t="s">
        <v>124</v>
      </c>
    </row>
    <row r="82" spans="2:9" ht="15.75" x14ac:dyDescent="0.25">
      <c r="B82" s="69" t="s">
        <v>118</v>
      </c>
      <c r="I82" s="14" t="s">
        <v>125</v>
      </c>
    </row>
    <row r="83" spans="2:9" x14ac:dyDescent="0.25">
      <c r="B83" t="s">
        <v>119</v>
      </c>
      <c r="I83" s="14" t="s">
        <v>126</v>
      </c>
    </row>
    <row r="84" spans="2:9" x14ac:dyDescent="0.25">
      <c r="I84" s="14" t="s">
        <v>127</v>
      </c>
    </row>
    <row r="85" spans="2:9" x14ac:dyDescent="0.25">
      <c r="I85" s="136" t="s">
        <v>128</v>
      </c>
    </row>
    <row r="86" spans="2:9" ht="18.75" x14ac:dyDescent="0.3">
      <c r="B86" s="118" t="s">
        <v>120</v>
      </c>
      <c r="C86" s="118" t="s">
        <v>121</v>
      </c>
    </row>
    <row r="87" spans="2:9" x14ac:dyDescent="0.25">
      <c r="E87">
        <v>0</v>
      </c>
      <c r="I87" s="137" t="s">
        <v>131</v>
      </c>
    </row>
  </sheetData>
  <mergeCells count="2">
    <mergeCell ref="D31:E31"/>
    <mergeCell ref="H31:I3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L17" sqref="L17"/>
    </sheetView>
  </sheetViews>
  <sheetFormatPr defaultRowHeight="15" x14ac:dyDescent="0.25"/>
  <cols>
    <col min="1" max="1" width="5.42578125" customWidth="1"/>
    <col min="2" max="2" width="19" customWidth="1"/>
    <col min="4" max="4" width="11.140625" customWidth="1"/>
    <col min="5" max="5" width="12.5703125" customWidth="1"/>
    <col min="7" max="7" width="12.140625" customWidth="1"/>
    <col min="8" max="8" width="11.140625" customWidth="1"/>
    <col min="9" max="9" width="11.7109375" customWidth="1"/>
    <col min="10" max="10" width="12.140625" customWidth="1"/>
  </cols>
  <sheetData>
    <row r="2" spans="1:15" ht="26.25" x14ac:dyDescent="0.4">
      <c r="B2" s="122" t="s">
        <v>134</v>
      </c>
    </row>
    <row r="3" spans="1:15" ht="16.5" thickBot="1" x14ac:dyDescent="0.3">
      <c r="G3" s="124" t="s">
        <v>136</v>
      </c>
      <c r="H3" s="124" t="s">
        <v>65</v>
      </c>
      <c r="I3" s="124" t="s">
        <v>136</v>
      </c>
      <c r="J3" s="124" t="s">
        <v>65</v>
      </c>
    </row>
    <row r="4" spans="1:15" ht="16.5" thickTop="1" x14ac:dyDescent="0.25">
      <c r="A4" s="212" t="s">
        <v>37</v>
      </c>
      <c r="B4" s="213"/>
      <c r="C4" s="127" t="s">
        <v>2</v>
      </c>
      <c r="D4" s="127" t="s">
        <v>3</v>
      </c>
      <c r="E4" s="127" t="s">
        <v>4</v>
      </c>
      <c r="F4" s="129" t="s">
        <v>8</v>
      </c>
      <c r="G4" s="134" t="s">
        <v>138</v>
      </c>
      <c r="H4" s="125" t="s">
        <v>138</v>
      </c>
      <c r="I4" s="129" t="s">
        <v>96</v>
      </c>
      <c r="J4" s="131" t="s">
        <v>96</v>
      </c>
    </row>
    <row r="5" spans="1:15" ht="15.75" thickBot="1" x14ac:dyDescent="0.3">
      <c r="A5" s="214"/>
      <c r="B5" s="215"/>
      <c r="C5" s="128"/>
      <c r="D5" s="128" t="s">
        <v>18</v>
      </c>
      <c r="E5" s="128" t="s">
        <v>17</v>
      </c>
      <c r="F5" s="130"/>
      <c r="G5" s="135" t="s">
        <v>135</v>
      </c>
      <c r="H5" s="126" t="s">
        <v>135</v>
      </c>
      <c r="I5" s="130" t="s">
        <v>135</v>
      </c>
      <c r="J5" s="132" t="s">
        <v>135</v>
      </c>
    </row>
    <row r="6" spans="1:15" ht="19.5" thickTop="1" x14ac:dyDescent="0.3">
      <c r="A6" s="70">
        <v>1</v>
      </c>
      <c r="B6" s="85" t="s">
        <v>47</v>
      </c>
      <c r="C6" s="71" t="s">
        <v>54</v>
      </c>
      <c r="D6" s="72">
        <v>3</v>
      </c>
      <c r="E6" s="73">
        <v>7.06</v>
      </c>
      <c r="F6" s="76">
        <v>7.79</v>
      </c>
      <c r="G6" s="146">
        <f>0.4/3</f>
        <v>0.13333333333333333</v>
      </c>
      <c r="H6" s="133" t="s">
        <v>137</v>
      </c>
      <c r="I6" s="138">
        <f>3.1/4.43</f>
        <v>0.69977426636568851</v>
      </c>
      <c r="J6" s="141">
        <v>1.21</v>
      </c>
    </row>
    <row r="7" spans="1:15" ht="18.75" x14ac:dyDescent="0.3">
      <c r="A7" s="70">
        <v>2</v>
      </c>
      <c r="B7" s="86" t="s">
        <v>139</v>
      </c>
      <c r="C7" s="71" t="s">
        <v>55</v>
      </c>
      <c r="D7" s="72">
        <v>3</v>
      </c>
      <c r="E7" s="72">
        <v>7.22</v>
      </c>
      <c r="F7" s="80">
        <v>7.89</v>
      </c>
      <c r="G7" s="146">
        <f>0.43/3</f>
        <v>0.14333333333333334</v>
      </c>
      <c r="H7" s="133" t="s">
        <v>137</v>
      </c>
      <c r="I7" s="148">
        <f>0.62/4.43</f>
        <v>0.1399548532731377</v>
      </c>
      <c r="J7" s="142">
        <v>1.1100000000000001</v>
      </c>
      <c r="M7" s="149" t="s">
        <v>140</v>
      </c>
      <c r="N7" s="150"/>
      <c r="O7" t="s">
        <v>146</v>
      </c>
    </row>
    <row r="8" spans="1:15" ht="18.75" x14ac:dyDescent="0.3">
      <c r="A8" s="70">
        <v>3</v>
      </c>
      <c r="B8" s="86" t="s">
        <v>48</v>
      </c>
      <c r="C8" s="71" t="s">
        <v>56</v>
      </c>
      <c r="D8" s="72">
        <v>3</v>
      </c>
      <c r="E8" s="72">
        <v>7.11</v>
      </c>
      <c r="F8" s="80">
        <v>7.9</v>
      </c>
      <c r="G8" s="146">
        <f>0.4/3</f>
        <v>0.13333333333333333</v>
      </c>
      <c r="H8" s="133" t="s">
        <v>137</v>
      </c>
      <c r="I8" s="139">
        <f>3.72/4.43</f>
        <v>0.83972911963882624</v>
      </c>
      <c r="J8" s="142">
        <v>1.1599999999999999</v>
      </c>
      <c r="M8" s="137" t="s">
        <v>141</v>
      </c>
      <c r="N8" s="145"/>
    </row>
    <row r="9" spans="1:15" ht="18.75" x14ac:dyDescent="0.3">
      <c r="A9" s="70">
        <v>4</v>
      </c>
      <c r="B9" s="86" t="s">
        <v>49</v>
      </c>
      <c r="C9" s="71" t="s">
        <v>57</v>
      </c>
      <c r="D9" s="72">
        <v>3</v>
      </c>
      <c r="E9" s="72">
        <v>6.99</v>
      </c>
      <c r="F9" s="80">
        <v>7.89</v>
      </c>
      <c r="G9" s="146">
        <f>0.42/3</f>
        <v>0.13999999999999999</v>
      </c>
      <c r="H9" s="133" t="s">
        <v>137</v>
      </c>
      <c r="I9" s="139">
        <f>3.45/4.43</f>
        <v>0.7787810383747179</v>
      </c>
      <c r="J9" s="143">
        <v>1.28</v>
      </c>
      <c r="M9" s="119" t="s">
        <v>142</v>
      </c>
      <c r="N9" s="136"/>
    </row>
    <row r="10" spans="1:15" ht="18.75" x14ac:dyDescent="0.3">
      <c r="A10" s="70">
        <v>5</v>
      </c>
      <c r="B10" s="86" t="s">
        <v>50</v>
      </c>
      <c r="C10" s="71" t="s">
        <v>58</v>
      </c>
      <c r="D10" s="72">
        <v>3</v>
      </c>
      <c r="E10" s="72">
        <v>6.91</v>
      </c>
      <c r="F10" s="80">
        <v>7.91</v>
      </c>
      <c r="G10" s="146">
        <f>0.37/3</f>
        <v>0.12333333333333334</v>
      </c>
      <c r="H10" s="133" t="s">
        <v>137</v>
      </c>
      <c r="I10" s="148">
        <f>0.35/4.43</f>
        <v>7.900677200902935E-2</v>
      </c>
      <c r="J10" s="143">
        <v>1.39</v>
      </c>
    </row>
    <row r="11" spans="1:15" ht="18.75" x14ac:dyDescent="0.3">
      <c r="A11" s="70">
        <v>6</v>
      </c>
      <c r="B11" s="86" t="s">
        <v>51</v>
      </c>
      <c r="C11" s="71" t="s">
        <v>59</v>
      </c>
      <c r="D11" s="72">
        <v>3</v>
      </c>
      <c r="E11" s="72">
        <v>6.88</v>
      </c>
      <c r="F11" s="80">
        <v>7.89</v>
      </c>
      <c r="G11" s="146">
        <f>0.34/3</f>
        <v>0.11333333333333334</v>
      </c>
      <c r="H11" s="133" t="s">
        <v>137</v>
      </c>
      <c r="I11" s="148">
        <f>0.44/4.43</f>
        <v>9.932279909706547E-2</v>
      </c>
      <c r="J11" s="143">
        <v>1.37</v>
      </c>
    </row>
    <row r="12" spans="1:15" ht="18.75" x14ac:dyDescent="0.3">
      <c r="A12" s="70">
        <v>7</v>
      </c>
      <c r="B12" s="86" t="s">
        <v>52</v>
      </c>
      <c r="C12" s="71" t="s">
        <v>60</v>
      </c>
      <c r="D12" s="72">
        <v>3</v>
      </c>
      <c r="E12" s="72">
        <v>6.87</v>
      </c>
      <c r="F12" s="80">
        <v>7.95</v>
      </c>
      <c r="G12" s="146">
        <f>0.46/3</f>
        <v>0.15333333333333335</v>
      </c>
      <c r="H12" s="133" t="s">
        <v>137</v>
      </c>
      <c r="I12" s="139">
        <f>3.99/4.43</f>
        <v>0.90067720090293468</v>
      </c>
      <c r="J12" s="143">
        <v>1.38</v>
      </c>
    </row>
    <row r="13" spans="1:15" ht="19.5" thickBot="1" x14ac:dyDescent="0.35">
      <c r="A13" s="81">
        <v>8</v>
      </c>
      <c r="B13" s="87" t="s">
        <v>53</v>
      </c>
      <c r="C13" s="82" t="s">
        <v>61</v>
      </c>
      <c r="D13" s="83">
        <v>3</v>
      </c>
      <c r="E13" s="83">
        <v>7.07</v>
      </c>
      <c r="F13" s="84">
        <v>7.85</v>
      </c>
      <c r="G13" s="147">
        <f>0.47/3</f>
        <v>0.15666666666666665</v>
      </c>
      <c r="H13" s="123" t="s">
        <v>137</v>
      </c>
      <c r="I13" s="140">
        <f>4.44/4.43</f>
        <v>1.0022573363431153</v>
      </c>
      <c r="J13" s="144">
        <v>1.57</v>
      </c>
    </row>
    <row r="14" spans="1:15" ht="15.75" thickTop="1" x14ac:dyDescent="0.25"/>
    <row r="19" spans="8:8" x14ac:dyDescent="0.25">
      <c r="H19" s="14" t="s">
        <v>145</v>
      </c>
    </row>
    <row r="20" spans="8:8" x14ac:dyDescent="0.25">
      <c r="H20" s="14" t="s">
        <v>143</v>
      </c>
    </row>
    <row r="21" spans="8:8" x14ac:dyDescent="0.25">
      <c r="H21" s="14" t="s">
        <v>144</v>
      </c>
    </row>
  </sheetData>
  <mergeCells count="1">
    <mergeCell ref="A4:B5"/>
  </mergeCells>
  <pageMargins left="0.7" right="0.7" top="0.75" bottom="0.75" header="0.3" footer="0.3"/>
  <ignoredErrors>
    <ignoredError sqref="G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/>
  </sheetViews>
  <sheetFormatPr defaultRowHeight="15" x14ac:dyDescent="0.25"/>
  <cols>
    <col min="2" max="2" width="18" customWidth="1"/>
    <col min="11" max="11" width="11" customWidth="1"/>
  </cols>
  <sheetData>
    <row r="2" spans="1:15" ht="26.25" x14ac:dyDescent="0.4">
      <c r="B2" s="122" t="s">
        <v>147</v>
      </c>
    </row>
    <row r="3" spans="1:15" ht="16.5" thickBot="1" x14ac:dyDescent="0.3">
      <c r="H3" s="124" t="s">
        <v>136</v>
      </c>
      <c r="I3" s="124" t="s">
        <v>65</v>
      </c>
      <c r="J3" s="124" t="s">
        <v>136</v>
      </c>
      <c r="K3" s="124" t="s">
        <v>65</v>
      </c>
    </row>
    <row r="4" spans="1:15" ht="16.5" thickTop="1" x14ac:dyDescent="0.25">
      <c r="A4" s="212" t="s">
        <v>37</v>
      </c>
      <c r="B4" s="213"/>
      <c r="C4" s="127" t="s">
        <v>2</v>
      </c>
      <c r="D4" s="7" t="s">
        <v>2</v>
      </c>
      <c r="E4" s="7" t="s">
        <v>3</v>
      </c>
      <c r="F4" s="7" t="s">
        <v>4</v>
      </c>
      <c r="G4" s="7" t="s">
        <v>8</v>
      </c>
      <c r="H4" s="134" t="s">
        <v>138</v>
      </c>
      <c r="I4" s="125" t="s">
        <v>138</v>
      </c>
      <c r="J4" s="129" t="s">
        <v>96</v>
      </c>
      <c r="K4" s="131" t="s">
        <v>96</v>
      </c>
    </row>
    <row r="5" spans="1:15" ht="15.75" thickBot="1" x14ac:dyDescent="0.3">
      <c r="A5" s="214"/>
      <c r="B5" s="215"/>
      <c r="C5" s="128"/>
      <c r="D5" s="10"/>
      <c r="E5" s="10" t="s">
        <v>18</v>
      </c>
      <c r="F5" s="10" t="s">
        <v>17</v>
      </c>
      <c r="G5" s="10"/>
      <c r="H5" s="135" t="s">
        <v>135</v>
      </c>
      <c r="I5" s="126" t="s">
        <v>135</v>
      </c>
      <c r="J5" s="130" t="s">
        <v>135</v>
      </c>
      <c r="K5" s="132" t="s">
        <v>135</v>
      </c>
    </row>
    <row r="6" spans="1:15" ht="19.5" thickTop="1" x14ac:dyDescent="0.3">
      <c r="A6" s="70">
        <v>1</v>
      </c>
      <c r="B6" s="85" t="s">
        <v>47</v>
      </c>
      <c r="C6" s="71" t="s">
        <v>54</v>
      </c>
      <c r="D6" s="71" t="s">
        <v>81</v>
      </c>
      <c r="E6" s="72">
        <v>14.4</v>
      </c>
      <c r="F6" s="73">
        <v>14.4</v>
      </c>
      <c r="G6" s="76">
        <v>8.41</v>
      </c>
      <c r="H6" s="153">
        <f>0.4/3</f>
        <v>0.13333333333333333</v>
      </c>
      <c r="I6" s="133" t="s">
        <v>137</v>
      </c>
      <c r="J6" s="151">
        <f>0.44/4.43</f>
        <v>9.932279909706547E-2</v>
      </c>
      <c r="K6" s="141">
        <v>3.28</v>
      </c>
      <c r="M6" s="156" t="s">
        <v>140</v>
      </c>
      <c r="N6" s="157"/>
      <c r="O6" t="s">
        <v>146</v>
      </c>
    </row>
    <row r="7" spans="1:15" ht="18.75" x14ac:dyDescent="0.3">
      <c r="A7" s="70">
        <v>2</v>
      </c>
      <c r="B7" s="86" t="s">
        <v>139</v>
      </c>
      <c r="C7" s="71" t="s">
        <v>55</v>
      </c>
      <c r="D7" s="71" t="s">
        <v>55</v>
      </c>
      <c r="E7" s="72">
        <v>15</v>
      </c>
      <c r="F7" s="72">
        <v>14.1</v>
      </c>
      <c r="G7" s="80">
        <v>8.35</v>
      </c>
      <c r="H7" s="146">
        <f>0.46/3</f>
        <v>0.15333333333333335</v>
      </c>
      <c r="I7" s="133" t="s">
        <v>137</v>
      </c>
      <c r="J7" s="152">
        <f>0.53/4.43</f>
        <v>0.11963882618510159</v>
      </c>
      <c r="K7" s="143">
        <v>3.43</v>
      </c>
      <c r="M7" s="137" t="s">
        <v>141</v>
      </c>
      <c r="N7" s="145"/>
    </row>
    <row r="8" spans="1:15" ht="18.75" x14ac:dyDescent="0.3">
      <c r="A8" s="70">
        <v>3</v>
      </c>
      <c r="B8" s="86" t="s">
        <v>48</v>
      </c>
      <c r="C8" s="71" t="s">
        <v>56</v>
      </c>
      <c r="D8" s="71" t="s">
        <v>56</v>
      </c>
      <c r="E8" s="72">
        <v>15.2</v>
      </c>
      <c r="F8" s="72">
        <v>14.2</v>
      </c>
      <c r="G8" s="80">
        <v>8.73</v>
      </c>
      <c r="H8" s="146">
        <f>0.49/3</f>
        <v>0.16333333333333333</v>
      </c>
      <c r="I8" s="133" t="s">
        <v>137</v>
      </c>
      <c r="J8" s="152">
        <f>0.89/4.43</f>
        <v>0.20090293453724606</v>
      </c>
      <c r="K8" s="143">
        <v>3.31</v>
      </c>
      <c r="M8" s="119" t="s">
        <v>142</v>
      </c>
      <c r="N8" s="136"/>
    </row>
    <row r="9" spans="1:15" ht="18.75" x14ac:dyDescent="0.3">
      <c r="A9" s="70">
        <v>4</v>
      </c>
      <c r="B9" s="86" t="s">
        <v>49</v>
      </c>
      <c r="C9" s="71" t="s">
        <v>57</v>
      </c>
      <c r="D9" s="71" t="s">
        <v>57</v>
      </c>
      <c r="E9" s="72">
        <v>15</v>
      </c>
      <c r="F9" s="72">
        <v>14.2</v>
      </c>
      <c r="G9" s="80">
        <v>8.4600000000000009</v>
      </c>
      <c r="H9" s="146">
        <f>0.5/3</f>
        <v>0.16666666666666666</v>
      </c>
      <c r="I9" s="133" t="s">
        <v>137</v>
      </c>
      <c r="J9" s="154">
        <f>3.72/4.43</f>
        <v>0.83972911963882624</v>
      </c>
      <c r="K9" s="143">
        <v>3.44</v>
      </c>
    </row>
    <row r="10" spans="1:15" ht="18.75" x14ac:dyDescent="0.3">
      <c r="A10" s="70">
        <v>5</v>
      </c>
      <c r="B10" s="86" t="s">
        <v>50</v>
      </c>
      <c r="C10" s="71" t="s">
        <v>58</v>
      </c>
      <c r="D10" s="71" t="s">
        <v>58</v>
      </c>
      <c r="E10" s="72">
        <v>15.2</v>
      </c>
      <c r="F10" s="72">
        <v>14.2</v>
      </c>
      <c r="G10" s="80">
        <v>8.74</v>
      </c>
      <c r="H10" s="146">
        <f>0.52/3</f>
        <v>0.17333333333333334</v>
      </c>
      <c r="I10" s="133" t="s">
        <v>137</v>
      </c>
      <c r="J10" s="154">
        <f>3.98/4.43</f>
        <v>0.89841986455981948</v>
      </c>
      <c r="K10" s="143">
        <v>3.12</v>
      </c>
    </row>
    <row r="11" spans="1:15" ht="18.75" x14ac:dyDescent="0.3">
      <c r="A11" s="70">
        <v>6</v>
      </c>
      <c r="B11" s="86" t="s">
        <v>51</v>
      </c>
      <c r="C11" s="71" t="s">
        <v>59</v>
      </c>
      <c r="D11" s="71" t="s">
        <v>59</v>
      </c>
      <c r="E11" s="72">
        <v>15.5</v>
      </c>
      <c r="F11" s="72">
        <v>14.4</v>
      </c>
      <c r="G11" s="80">
        <v>8.6199999999999992</v>
      </c>
      <c r="H11" s="146">
        <f>0.54/3</f>
        <v>0.18000000000000002</v>
      </c>
      <c r="I11" s="133" t="s">
        <v>137</v>
      </c>
      <c r="J11" s="154">
        <f>3.72/4.43</f>
        <v>0.83972911963882624</v>
      </c>
      <c r="K11" s="143">
        <v>3.92</v>
      </c>
    </row>
    <row r="12" spans="1:15" ht="18.75" x14ac:dyDescent="0.3">
      <c r="A12" s="70">
        <v>7</v>
      </c>
      <c r="B12" s="86" t="s">
        <v>52</v>
      </c>
      <c r="C12" s="71" t="s">
        <v>60</v>
      </c>
      <c r="D12" s="71" t="s">
        <v>60</v>
      </c>
      <c r="E12" s="72">
        <v>15.2</v>
      </c>
      <c r="F12" s="72">
        <v>14.4</v>
      </c>
      <c r="G12" s="80">
        <v>8.6300000000000008</v>
      </c>
      <c r="H12" s="146">
        <f>0.55/3</f>
        <v>0.18333333333333335</v>
      </c>
      <c r="I12" s="133" t="s">
        <v>137</v>
      </c>
      <c r="J12" s="154">
        <f>3.28/4.43</f>
        <v>0.7404063205417607</v>
      </c>
      <c r="K12" s="143">
        <v>3.35</v>
      </c>
    </row>
    <row r="13" spans="1:15" ht="19.5" thickBot="1" x14ac:dyDescent="0.35">
      <c r="A13" s="81">
        <v>8</v>
      </c>
      <c r="B13" s="87" t="s">
        <v>53</v>
      </c>
      <c r="C13" s="82" t="s">
        <v>61</v>
      </c>
      <c r="D13" s="82" t="s">
        <v>61</v>
      </c>
      <c r="E13" s="83">
        <v>15.5</v>
      </c>
      <c r="F13" s="83">
        <v>14.4</v>
      </c>
      <c r="G13" s="84">
        <v>8.77</v>
      </c>
      <c r="H13" s="147">
        <f>0.57/3</f>
        <v>0.18999999999999997</v>
      </c>
      <c r="I13" s="123" t="s">
        <v>137</v>
      </c>
      <c r="J13" s="155">
        <f>4.25/4.43</f>
        <v>0.95936794582392781</v>
      </c>
      <c r="K13" s="144">
        <v>3.43</v>
      </c>
    </row>
    <row r="14" spans="1:15" ht="15.75" thickTop="1" x14ac:dyDescent="0.25"/>
    <row r="19" spans="9:9" x14ac:dyDescent="0.25">
      <c r="I19" s="14" t="s">
        <v>145</v>
      </c>
    </row>
    <row r="20" spans="9:9" x14ac:dyDescent="0.25">
      <c r="I20" s="14" t="s">
        <v>143</v>
      </c>
    </row>
    <row r="21" spans="9:9" x14ac:dyDescent="0.25">
      <c r="I21" s="14" t="s">
        <v>144</v>
      </c>
    </row>
  </sheetData>
  <mergeCells count="1">
    <mergeCell ref="A4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Quadro Generale-22.02. 2018</vt:lpstr>
      <vt:lpstr>Quadro Generale - 12.04.2018</vt:lpstr>
      <vt:lpstr>Fosfati-comparazione</vt:lpstr>
      <vt:lpstr>Nitrati-comparazione</vt:lpstr>
      <vt:lpstr>22-02-2014-nuova-tabella</vt:lpstr>
      <vt:lpstr>12-04-2018-nuova-tabella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Sandro</cp:lastModifiedBy>
  <cp:lastPrinted>2018-04-11T15:58:57Z</cp:lastPrinted>
  <dcterms:created xsi:type="dcterms:W3CDTF">2018-04-11T15:45:44Z</dcterms:created>
  <dcterms:modified xsi:type="dcterms:W3CDTF">2020-07-11T09:29:39Z</dcterms:modified>
</cp:coreProperties>
</file>